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FORMULA RATES SPP\Annual Update Transmission Rates AEP West SPP OpCos and Transcos\True Ups\2021 Annual Update\Transco_OKTCo_SWTCo\Filed Documents 5-24-21\"/>
    </mc:Choice>
  </mc:AlternateContent>
  <bookViews>
    <workbookView xWindow="390" yWindow="6510" windowWidth="18810" windowHeight="4380" tabRatio="834"/>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8" r:id="rId21"/>
    <sheet name="OKT.019" sheetId="37" r:id="rId22"/>
    <sheet name="OKT.020" sheetId="39" r:id="rId23"/>
    <sheet name="OKT.xyz - blank" sheetId="13" r:id="rId24"/>
  </sheets>
  <externalReferences>
    <externalReference r:id="rId25"/>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OKT.Sch.11.Rates!$A$1:$T$41</definedName>
    <definedName name="_xlnm.Print_Area" localSheetId="1">OKT.WS.F.BPU.ATRR.Projected!$A$1:$O$89</definedName>
    <definedName name="_xlnm.Print_Area" localSheetId="2">'OKT.WS.G.BPU.ATRR.True-up'!$A$1:$P$96</definedName>
    <definedName name="_xlnm.Print_Area" localSheetId="23">'OKT.xyz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3">'OKT.xyz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62913"/>
</workbook>
</file>

<file path=xl/calcChain.xml><?xml version="1.0" encoding="utf-8"?>
<calcChain xmlns="http://schemas.openxmlformats.org/spreadsheetml/2006/main">
  <c r="T14" i="17" l="1"/>
  <c r="D107" i="21" l="1"/>
  <c r="M106" i="27" l="1"/>
  <c r="D106" i="27"/>
  <c r="L24" i="27"/>
  <c r="N101" i="38"/>
  <c r="L101" i="38"/>
  <c r="M101" i="38" s="1"/>
  <c r="M19" i="38"/>
  <c r="K19" i="38"/>
  <c r="L19" i="38" s="1"/>
  <c r="M19" i="37"/>
  <c r="K19" i="37"/>
  <c r="L19" i="37" s="1"/>
  <c r="M18" i="38"/>
  <c r="K18" i="38"/>
  <c r="L18" i="38" s="1"/>
  <c r="M20" i="31"/>
  <c r="K20" i="31"/>
  <c r="L20" i="31" s="1"/>
  <c r="M21" i="29"/>
  <c r="K21" i="29"/>
  <c r="L21" i="29" s="1"/>
  <c r="L23" i="28"/>
  <c r="L24" i="28"/>
  <c r="M22" i="28"/>
  <c r="K22" i="28"/>
  <c r="L22" i="28" s="1"/>
  <c r="M24" i="24"/>
  <c r="K24" i="24"/>
  <c r="L24" i="24" s="1"/>
  <c r="M22" i="25"/>
  <c r="K22" i="25"/>
  <c r="L22" i="25" s="1"/>
  <c r="M23" i="23"/>
  <c r="K23" i="23"/>
  <c r="L23" i="23" s="1"/>
  <c r="M23" i="22"/>
  <c r="K23" i="22"/>
  <c r="L23" i="22" s="1"/>
  <c r="M24" i="21"/>
  <c r="K24" i="21"/>
  <c r="L24" i="21" s="1"/>
  <c r="M26" i="19"/>
  <c r="K26" i="19"/>
  <c r="L26" i="19" s="1"/>
  <c r="M26" i="18"/>
  <c r="K26" i="18"/>
  <c r="L26" i="18" s="1"/>
  <c r="M110" i="4"/>
  <c r="O110" i="4"/>
  <c r="I17" i="39" l="1"/>
  <c r="N101" i="37" l="1"/>
  <c r="L101" i="37"/>
  <c r="M101" i="37" s="1"/>
  <c r="N102" i="35"/>
  <c r="L102" i="35"/>
  <c r="M102" i="35" s="1"/>
  <c r="N102" i="34"/>
  <c r="L102" i="34"/>
  <c r="M102" i="34" s="1"/>
  <c r="N102" i="31"/>
  <c r="L102" i="31"/>
  <c r="M102" i="31" s="1"/>
  <c r="N103" i="29"/>
  <c r="O103" i="29" s="1"/>
  <c r="M103" i="29"/>
  <c r="L103" i="29"/>
  <c r="N102" i="29"/>
  <c r="O102" i="29" s="1"/>
  <c r="M102" i="29"/>
  <c r="L102" i="29"/>
  <c r="N106" i="28"/>
  <c r="L106" i="28"/>
  <c r="M106" i="28" s="1"/>
  <c r="P102" i="29" l="1"/>
  <c r="P103" i="29"/>
  <c r="N105" i="26"/>
  <c r="L105" i="26"/>
  <c r="M105" i="26" s="1"/>
  <c r="N106" i="24"/>
  <c r="O106" i="24" s="1"/>
  <c r="L106" i="24"/>
  <c r="M106" i="24" s="1"/>
  <c r="N104" i="25"/>
  <c r="L104" i="25"/>
  <c r="M104" i="25" s="1"/>
  <c r="N105" i="23"/>
  <c r="O105" i="23" s="1"/>
  <c r="L105" i="23"/>
  <c r="M105" i="23" s="1"/>
  <c r="N105" i="22"/>
  <c r="O105" i="22" s="1"/>
  <c r="L105" i="22"/>
  <c r="M105" i="22" s="1"/>
  <c r="N106" i="21"/>
  <c r="L106" i="21"/>
  <c r="M106" i="21" s="1"/>
  <c r="N108" i="19"/>
  <c r="L108" i="19"/>
  <c r="M108" i="19" s="1"/>
  <c r="N108" i="18"/>
  <c r="M108" i="18"/>
  <c r="L108" i="18"/>
  <c r="N109" i="4"/>
  <c r="O109" i="4" s="1"/>
  <c r="L109" i="4"/>
  <c r="M109" i="4" s="1"/>
  <c r="N109" i="3"/>
  <c r="L109" i="3"/>
  <c r="M109" i="3" s="1"/>
  <c r="K18" i="17" l="1"/>
  <c r="P155" i="39" l="1"/>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2" i="39"/>
  <c r="M102" i="39"/>
  <c r="O101" i="39"/>
  <c r="M101" i="39"/>
  <c r="D97" i="39"/>
  <c r="D95" i="39"/>
  <c r="L94" i="39"/>
  <c r="J94" i="39"/>
  <c r="D94" i="39"/>
  <c r="J93" i="39"/>
  <c r="D92" i="39"/>
  <c r="D91" i="39"/>
  <c r="D90" i="39"/>
  <c r="L87"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L20" i="39"/>
  <c r="N19" i="39"/>
  <c r="L19" i="39"/>
  <c r="N18" i="39"/>
  <c r="L18" i="39"/>
  <c r="D18" i="39"/>
  <c r="B18" i="39" s="1"/>
  <c r="M17" i="39"/>
  <c r="N17" i="39" s="1"/>
  <c r="K17" i="39"/>
  <c r="L17" i="39" s="1"/>
  <c r="C17" i="39"/>
  <c r="C18" i="39" s="1"/>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B17" i="39"/>
  <c r="K11" i="39"/>
  <c r="I11" i="39"/>
  <c r="I10" i="39"/>
  <c r="P1" i="39"/>
  <c r="P84" i="39" s="1"/>
  <c r="P103" i="39" l="1"/>
  <c r="P109" i="39"/>
  <c r="O19" i="39"/>
  <c r="O21" i="39"/>
  <c r="O37" i="39"/>
  <c r="O53" i="39"/>
  <c r="O69" i="39"/>
  <c r="O26" i="39"/>
  <c r="O28" i="39"/>
  <c r="O30" i="39"/>
  <c r="O32" i="39"/>
  <c r="O42" i="39"/>
  <c r="O44" i="39"/>
  <c r="O46" i="39"/>
  <c r="O48" i="39"/>
  <c r="O17" i="39"/>
  <c r="O33" i="39"/>
  <c r="O49" i="39"/>
  <c r="O23" i="39"/>
  <c r="O25" i="39"/>
  <c r="O29" i="39"/>
  <c r="O35" i="39"/>
  <c r="O58" i="39"/>
  <c r="O60" i="39"/>
  <c r="O62" i="39"/>
  <c r="O64" i="39"/>
  <c r="O39" i="39"/>
  <c r="O41" i="39"/>
  <c r="O45" i="39"/>
  <c r="O72" i="39"/>
  <c r="O55" i="39"/>
  <c r="O57" i="39"/>
  <c r="O61" i="39"/>
  <c r="O65" i="39"/>
  <c r="P104" i="39"/>
  <c r="P106" i="39"/>
  <c r="P116" i="39"/>
  <c r="O18" i="39"/>
  <c r="O36" i="39"/>
  <c r="O43" i="39"/>
  <c r="O50" i="39"/>
  <c r="O66" i="39"/>
  <c r="O68" i="39"/>
  <c r="O73" i="39"/>
  <c r="O22" i="39"/>
  <c r="O24" i="39"/>
  <c r="O31" i="39"/>
  <c r="O38" i="39"/>
  <c r="O40" i="39"/>
  <c r="O47" i="39"/>
  <c r="O56" i="39"/>
  <c r="O63" i="39"/>
  <c r="O70" i="39"/>
  <c r="O20" i="39"/>
  <c r="O27" i="39"/>
  <c r="O34" i="39"/>
  <c r="O52" i="39"/>
  <c r="P128" i="39"/>
  <c r="P112" i="39"/>
  <c r="P126" i="39"/>
  <c r="P102" i="39"/>
  <c r="P107" i="39"/>
  <c r="P113" i="39"/>
  <c r="P115" i="39"/>
  <c r="P110" i="39"/>
  <c r="P119" i="39"/>
  <c r="P101" i="39"/>
  <c r="P114" i="39"/>
  <c r="P117" i="39"/>
  <c r="P111" i="39"/>
  <c r="P118" i="39"/>
  <c r="P123" i="39"/>
  <c r="P127" i="39"/>
  <c r="P129" i="39"/>
  <c r="P131" i="39"/>
  <c r="P105" i="39"/>
  <c r="P108" i="39"/>
  <c r="P130" i="39"/>
  <c r="N88" i="39"/>
  <c r="M88" i="39"/>
  <c r="N5" i="39"/>
  <c r="N6"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O67" i="39"/>
  <c r="O51" i="39"/>
  <c r="O54" i="39"/>
  <c r="O71" i="39"/>
  <c r="O59" i="39"/>
  <c r="C100" i="39"/>
  <c r="D100" i="39"/>
  <c r="B100" i="39" s="1"/>
  <c r="C101" i="39"/>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P120" i="39"/>
  <c r="P124" i="39"/>
  <c r="P121" i="39"/>
  <c r="P125" i="39"/>
  <c r="P122" i="39"/>
  <c r="O88" i="39" l="1"/>
  <c r="N7" i="39"/>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O101" i="37" l="1"/>
  <c r="O102" i="37"/>
  <c r="M102" i="37"/>
  <c r="L20" i="37"/>
  <c r="K26" i="3" l="1"/>
  <c r="L26" i="3" s="1"/>
  <c r="M22" i="22"/>
  <c r="N22" i="22" s="1"/>
  <c r="M22" i="23"/>
  <c r="N22" i="23" s="1"/>
  <c r="K23" i="27"/>
  <c r="L23" i="27" s="1"/>
  <c r="M23" i="27"/>
  <c r="N23" i="27" s="1"/>
  <c r="N101" i="35"/>
  <c r="O101" i="35" s="1"/>
  <c r="P101" i="35" s="1"/>
  <c r="M101" i="35"/>
  <c r="L101" i="35"/>
  <c r="N101" i="34"/>
  <c r="O101" i="34" s="1"/>
  <c r="P101" i="34" s="1"/>
  <c r="M101" i="34"/>
  <c r="L101" i="34"/>
  <c r="N101" i="31"/>
  <c r="O101" i="31" s="1"/>
  <c r="P101" i="31" s="1"/>
  <c r="M101" i="31"/>
  <c r="L101" i="31"/>
  <c r="N101" i="29"/>
  <c r="O101" i="29" s="1"/>
  <c r="M101" i="29"/>
  <c r="L101" i="29"/>
  <c r="N105" i="28"/>
  <c r="O105" i="28" s="1"/>
  <c r="P105" i="28" s="1"/>
  <c r="M105" i="28"/>
  <c r="L105" i="28"/>
  <c r="N105" i="27"/>
  <c r="O105" i="27" s="1"/>
  <c r="P105" i="27" s="1"/>
  <c r="M105" i="27"/>
  <c r="L105" i="27"/>
  <c r="N104" i="26"/>
  <c r="O104" i="26" s="1"/>
  <c r="P104" i="26" s="1"/>
  <c r="M104" i="26"/>
  <c r="L104" i="26"/>
  <c r="N105" i="24"/>
  <c r="O105" i="24" s="1"/>
  <c r="P105" i="24" s="1"/>
  <c r="M105" i="24"/>
  <c r="L105" i="24"/>
  <c r="N103" i="25"/>
  <c r="O103" i="25" s="1"/>
  <c r="P103" i="25" s="1"/>
  <c r="M103" i="25"/>
  <c r="L103" i="25"/>
  <c r="N104" i="23"/>
  <c r="O104" i="23" s="1"/>
  <c r="P104" i="23" s="1"/>
  <c r="M104" i="23"/>
  <c r="L104" i="23"/>
  <c r="N104" i="22"/>
  <c r="O104" i="22" s="1"/>
  <c r="P104" i="22" s="1"/>
  <c r="M104" i="22"/>
  <c r="L104" i="22"/>
  <c r="N105" i="21"/>
  <c r="O105" i="21" s="1"/>
  <c r="M105" i="21"/>
  <c r="L105" i="21"/>
  <c r="N107" i="19"/>
  <c r="O107" i="19" s="1"/>
  <c r="P107" i="19" s="1"/>
  <c r="M107" i="19"/>
  <c r="L107" i="19"/>
  <c r="N107" i="18"/>
  <c r="O107" i="18" s="1"/>
  <c r="L107" i="18"/>
  <c r="M107" i="18" s="1"/>
  <c r="N108" i="4"/>
  <c r="O108" i="4" s="1"/>
  <c r="L108" i="4"/>
  <c r="M108" i="4" s="1"/>
  <c r="O108" i="3"/>
  <c r="P108" i="3" s="1"/>
  <c r="N108" i="3"/>
  <c r="L108" i="3"/>
  <c r="M108" i="3" s="1"/>
  <c r="O23" i="27" l="1"/>
  <c r="P105" i="21"/>
  <c r="P101" i="29"/>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O19" i="31" l="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M17" i="38" l="1"/>
  <c r="K17" i="38"/>
  <c r="M18" i="37"/>
  <c r="K18" i="37"/>
  <c r="L18" i="37" s="1"/>
  <c r="I46" i="17"/>
  <c r="F12" i="1" l="1"/>
  <c r="D46" i="17"/>
  <c r="W36" i="17" l="1"/>
  <c r="D36" i="17"/>
  <c r="F58" i="2" l="1"/>
  <c r="C58" i="2"/>
  <c r="E34" i="2"/>
  <c r="C34" i="2"/>
  <c r="F81" i="2" l="1"/>
  <c r="J95" i="39" s="1"/>
  <c r="J96" i="39" s="1"/>
  <c r="C81" i="2"/>
  <c r="F75" i="2"/>
  <c r="C75" i="2"/>
  <c r="F47" i="2"/>
  <c r="F46" i="2"/>
  <c r="F45" i="2"/>
  <c r="F44" i="2"/>
  <c r="C47" i="2"/>
  <c r="C46" i="2"/>
  <c r="C45" i="2"/>
  <c r="C44" i="2"/>
  <c r="F48" i="2" l="1"/>
  <c r="L22" i="17"/>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4" i="38"/>
  <c r="M104" i="38"/>
  <c r="O103" i="38"/>
  <c r="M103" i="38"/>
  <c r="O102" i="38"/>
  <c r="M102" i="38"/>
  <c r="O101" i="38"/>
  <c r="D97" i="38"/>
  <c r="D95" i="38"/>
  <c r="L94" i="38"/>
  <c r="J94" i="38"/>
  <c r="D94" i="38"/>
  <c r="C100" i="38" s="1"/>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L22" i="38"/>
  <c r="N21" i="38"/>
  <c r="L21" i="38"/>
  <c r="N20" i="38"/>
  <c r="L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L100" i="35"/>
  <c r="M18" i="35"/>
  <c r="N18" i="35" s="1"/>
  <c r="K18" i="35"/>
  <c r="L18" i="35" s="1"/>
  <c r="N100" i="34"/>
  <c r="L100" i="34"/>
  <c r="M100" i="34" s="1"/>
  <c r="M18" i="34"/>
  <c r="N18" i="34" s="1"/>
  <c r="K18" i="34"/>
  <c r="N100" i="31"/>
  <c r="L100" i="31"/>
  <c r="M18" i="31"/>
  <c r="N18" i="31" s="1"/>
  <c r="K18" i="31"/>
  <c r="L18" i="31" s="1"/>
  <c r="N100" i="29"/>
  <c r="L100" i="29"/>
  <c r="M100" i="29" s="1"/>
  <c r="M19" i="29"/>
  <c r="N19" i="29" s="1"/>
  <c r="K19" i="29"/>
  <c r="L19" i="29" s="1"/>
  <c r="N104" i="28"/>
  <c r="O104" i="28" s="1"/>
  <c r="P104" i="28" s="1"/>
  <c r="M104" i="28"/>
  <c r="L104" i="28"/>
  <c r="N22" i="28"/>
  <c r="N104" i="27"/>
  <c r="O104" i="27" s="1"/>
  <c r="L104" i="27"/>
  <c r="M104" i="27" s="1"/>
  <c r="M22" i="27"/>
  <c r="N22" i="27" s="1"/>
  <c r="K22" i="27"/>
  <c r="L22" i="27" s="1"/>
  <c r="N103" i="26"/>
  <c r="O103" i="26" s="1"/>
  <c r="L103" i="26"/>
  <c r="M103" i="26"/>
  <c r="M21" i="26"/>
  <c r="N21" i="26" s="1"/>
  <c r="K21" i="26"/>
  <c r="L21" i="26" s="1"/>
  <c r="O21" i="26" s="1"/>
  <c r="N104" i="24"/>
  <c r="O104" i="24" s="1"/>
  <c r="L104" i="24"/>
  <c r="M104" i="24" s="1"/>
  <c r="M22" i="24"/>
  <c r="N22" i="24" s="1"/>
  <c r="K22" i="24"/>
  <c r="L22" i="24" s="1"/>
  <c r="N102" i="25"/>
  <c r="O102" i="25"/>
  <c r="L102" i="25"/>
  <c r="M102" i="25" s="1"/>
  <c r="P102" i="25" s="1"/>
  <c r="M20" i="25"/>
  <c r="N20" i="25" s="1"/>
  <c r="K20" i="25"/>
  <c r="L20" i="25" s="1"/>
  <c r="N103" i="23"/>
  <c r="O103" i="23" s="1"/>
  <c r="P103" i="23"/>
  <c r="M103" i="23"/>
  <c r="L103" i="23"/>
  <c r="M21" i="23"/>
  <c r="N21" i="23" s="1"/>
  <c r="K21" i="23"/>
  <c r="L21" i="23" s="1"/>
  <c r="N103" i="22"/>
  <c r="O103" i="22" s="1"/>
  <c r="L103" i="22"/>
  <c r="M103" i="22" s="1"/>
  <c r="M21" i="22"/>
  <c r="N21" i="22" s="1"/>
  <c r="K21" i="22"/>
  <c r="L21" i="22" s="1"/>
  <c r="N104" i="21"/>
  <c r="O104" i="21" s="1"/>
  <c r="P104" i="21" s="1"/>
  <c r="L104" i="21"/>
  <c r="M104" i="21" s="1"/>
  <c r="M22" i="21"/>
  <c r="N22" i="21" s="1"/>
  <c r="K22" i="21"/>
  <c r="L22" i="21" s="1"/>
  <c r="O22" i="21" s="1"/>
  <c r="N106" i="19"/>
  <c r="O106" i="19" s="1"/>
  <c r="M106" i="19"/>
  <c r="L106" i="19"/>
  <c r="M24" i="19"/>
  <c r="N24" i="19" s="1"/>
  <c r="K24" i="19"/>
  <c r="L24" i="19" s="1"/>
  <c r="N106" i="18"/>
  <c r="O106" i="18"/>
  <c r="P106" i="18" s="1"/>
  <c r="L106" i="18"/>
  <c r="M106" i="18" s="1"/>
  <c r="M24" i="18"/>
  <c r="N24" i="18" s="1"/>
  <c r="K24" i="18"/>
  <c r="L24" i="18" s="1"/>
  <c r="N107" i="4"/>
  <c r="O107" i="4"/>
  <c r="P107" i="4" s="1"/>
  <c r="L107" i="4"/>
  <c r="M107" i="4" s="1"/>
  <c r="M25" i="3"/>
  <c r="N25" i="3" s="1"/>
  <c r="O25" i="3" s="1"/>
  <c r="K25" i="3"/>
  <c r="L25" i="3" s="1"/>
  <c r="N107" i="3"/>
  <c r="O107" i="3" s="1"/>
  <c r="L107" i="3"/>
  <c r="M107" i="3" s="1"/>
  <c r="M25" i="4"/>
  <c r="N25" i="4" s="1"/>
  <c r="K25" i="4"/>
  <c r="L25" i="4" s="1"/>
  <c r="M17" i="31"/>
  <c r="K17" i="31"/>
  <c r="M17" i="35"/>
  <c r="N17" i="35"/>
  <c r="K17" i="35"/>
  <c r="L17" i="35" s="1"/>
  <c r="M17" i="34"/>
  <c r="N17" i="34" s="1"/>
  <c r="K17" i="34"/>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4" i="37"/>
  <c r="M104" i="37"/>
  <c r="O103" i="37"/>
  <c r="M103" i="37"/>
  <c r="D97" i="37"/>
  <c r="D95" i="37"/>
  <c r="L94" i="37"/>
  <c r="J94" i="37"/>
  <c r="D94" i="37"/>
  <c r="C101" i="37" s="1"/>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C100" i="37"/>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L22" i="37"/>
  <c r="N21" i="37"/>
  <c r="L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c r="K18" i="29"/>
  <c r="O103" i="28"/>
  <c r="N103" i="28"/>
  <c r="L103" i="28"/>
  <c r="M103" i="28" s="1"/>
  <c r="M21" i="28"/>
  <c r="N21" i="28" s="1"/>
  <c r="K21" i="28"/>
  <c r="L21" i="28" s="1"/>
  <c r="N103" i="27"/>
  <c r="O103" i="27"/>
  <c r="L103" i="27"/>
  <c r="M103" i="27"/>
  <c r="M21" i="27"/>
  <c r="N21" i="27"/>
  <c r="L21" i="27"/>
  <c r="K21" i="27"/>
  <c r="N102" i="26"/>
  <c r="O102" i="26" s="1"/>
  <c r="L102" i="26"/>
  <c r="M102" i="26" s="1"/>
  <c r="M20" i="26"/>
  <c r="K20" i="26"/>
  <c r="L20" i="26" s="1"/>
  <c r="N103" i="24"/>
  <c r="O103" i="24"/>
  <c r="P103" i="24" s="1"/>
  <c r="L103" i="24"/>
  <c r="M103" i="24" s="1"/>
  <c r="M21" i="24"/>
  <c r="K21" i="24"/>
  <c r="L21" i="24" s="1"/>
  <c r="N101" i="25"/>
  <c r="O101" i="25"/>
  <c r="P101" i="25" s="1"/>
  <c r="L101" i="25"/>
  <c r="M101" i="25"/>
  <c r="M19" i="25"/>
  <c r="N19" i="25"/>
  <c r="K19" i="25"/>
  <c r="L19" i="25" s="1"/>
  <c r="N102" i="23"/>
  <c r="O102" i="23" s="1"/>
  <c r="P102" i="23" s="1"/>
  <c r="L102" i="23"/>
  <c r="M102" i="23"/>
  <c r="M20" i="23"/>
  <c r="N20" i="23" s="1"/>
  <c r="K20" i="23"/>
  <c r="L20" i="23"/>
  <c r="N102" i="22"/>
  <c r="O102" i="22"/>
  <c r="P102" i="22" s="1"/>
  <c r="L102" i="22"/>
  <c r="M102" i="22" s="1"/>
  <c r="M20" i="22"/>
  <c r="N20" i="22"/>
  <c r="K20" i="22"/>
  <c r="L20" i="22" s="1"/>
  <c r="I20" i="22"/>
  <c r="N103" i="21"/>
  <c r="O103" i="21"/>
  <c r="L103" i="21"/>
  <c r="M103" i="21" s="1"/>
  <c r="M21" i="21"/>
  <c r="N21" i="21"/>
  <c r="K21" i="21"/>
  <c r="L21" i="21" s="1"/>
  <c r="N105" i="19"/>
  <c r="O105" i="19" s="1"/>
  <c r="L105" i="19"/>
  <c r="M105" i="19" s="1"/>
  <c r="M23" i="19"/>
  <c r="N23" i="19" s="1"/>
  <c r="O23" i="19"/>
  <c r="K23" i="19"/>
  <c r="L23" i="19" s="1"/>
  <c r="N105" i="18"/>
  <c r="O105" i="18" s="1"/>
  <c r="L105" i="18"/>
  <c r="M105" i="18"/>
  <c r="M23" i="18"/>
  <c r="N23" i="18" s="1"/>
  <c r="O23" i="18" s="1"/>
  <c r="K23" i="18"/>
  <c r="L23" i="18" s="1"/>
  <c r="N106" i="4"/>
  <c r="O106" i="4"/>
  <c r="L106" i="4"/>
  <c r="M106" i="4"/>
  <c r="M24" i="4"/>
  <c r="N24" i="4"/>
  <c r="K24" i="4"/>
  <c r="L24" i="4" s="1"/>
  <c r="N106" i="3"/>
  <c r="O106" i="3"/>
  <c r="M106" i="3"/>
  <c r="L106" i="3"/>
  <c r="M24" i="3"/>
  <c r="N24" i="3" s="1"/>
  <c r="K24" i="3"/>
  <c r="L24" i="3"/>
  <c r="K17" i="29"/>
  <c r="F66" i="2"/>
  <c r="C66" i="2"/>
  <c r="I10" i="35"/>
  <c r="I10" i="34"/>
  <c r="D95" i="34" s="1"/>
  <c r="I10" i="31"/>
  <c r="I10" i="28"/>
  <c r="I10" i="27"/>
  <c r="I10" i="24"/>
  <c r="I10" i="25"/>
  <c r="D95" i="25" s="1"/>
  <c r="I10" i="23"/>
  <c r="D93"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39" i="17"/>
  <c r="N39"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5" i="35"/>
  <c r="M105" i="35"/>
  <c r="O104" i="35"/>
  <c r="M104" i="35"/>
  <c r="O103" i="35"/>
  <c r="M103" i="35"/>
  <c r="O102" i="35"/>
  <c r="O100" i="35"/>
  <c r="M100"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L23" i="35"/>
  <c r="N22" i="35"/>
  <c r="L22" i="35"/>
  <c r="N21" i="35"/>
  <c r="L21"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5" i="34"/>
  <c r="M105" i="34"/>
  <c r="O104" i="34"/>
  <c r="M104" i="34"/>
  <c r="O103" i="34"/>
  <c r="M103" i="34"/>
  <c r="O102" i="34"/>
  <c r="O100"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L23" i="34"/>
  <c r="N22" i="34"/>
  <c r="L22" i="34"/>
  <c r="N21" i="34"/>
  <c r="L21" i="34"/>
  <c r="L18" i="34"/>
  <c r="L17" i="34"/>
  <c r="C17" i="34"/>
  <c r="C18" i="34"/>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B17" i="34"/>
  <c r="K11" i="34"/>
  <c r="I11" i="34"/>
  <c r="D8" i="34"/>
  <c r="D91" i="34" s="1"/>
  <c r="B21" i="28"/>
  <c r="B22" i="19"/>
  <c r="D93" i="25"/>
  <c r="N102" i="28"/>
  <c r="L102" i="28"/>
  <c r="M102" i="28" s="1"/>
  <c r="N102" i="27"/>
  <c r="L102" i="27"/>
  <c r="M102" i="27"/>
  <c r="N101" i="26"/>
  <c r="L101" i="26"/>
  <c r="M101" i="26"/>
  <c r="N102" i="24"/>
  <c r="L102" i="24"/>
  <c r="M102" i="24"/>
  <c r="N100" i="25"/>
  <c r="L100" i="25"/>
  <c r="M100" i="25" s="1"/>
  <c r="L101" i="23"/>
  <c r="M101" i="23"/>
  <c r="N101" i="23"/>
  <c r="O101" i="23" s="1"/>
  <c r="L101" i="22"/>
  <c r="M101" i="22" s="1"/>
  <c r="N101" i="22"/>
  <c r="O101" i="22" s="1"/>
  <c r="P101" i="22" s="1"/>
  <c r="L102" i="21"/>
  <c r="M102" i="21"/>
  <c r="N102" i="21"/>
  <c r="L104" i="19"/>
  <c r="M104" i="19" s="1"/>
  <c r="N104" i="19"/>
  <c r="O104" i="19" s="1"/>
  <c r="L104" i="18"/>
  <c r="M104" i="18" s="1"/>
  <c r="N104" i="18"/>
  <c r="O104" i="18"/>
  <c r="P104" i="18" s="1"/>
  <c r="L105" i="3"/>
  <c r="M105" i="3" s="1"/>
  <c r="N105" i="3"/>
  <c r="O105" i="3" s="1"/>
  <c r="M17" i="29"/>
  <c r="L17" i="29"/>
  <c r="K20" i="28"/>
  <c r="L20" i="28" s="1"/>
  <c r="M20" i="28"/>
  <c r="K20" i="27"/>
  <c r="L20" i="27"/>
  <c r="M20" i="27"/>
  <c r="K19" i="26"/>
  <c r="L19" i="26"/>
  <c r="M19" i="26"/>
  <c r="K20" i="24"/>
  <c r="L20" i="24"/>
  <c r="M20" i="24"/>
  <c r="K18" i="25"/>
  <c r="L18" i="25" s="1"/>
  <c r="M18" i="25"/>
  <c r="K19" i="23"/>
  <c r="L19" i="23"/>
  <c r="M19" i="23"/>
  <c r="K19" i="22"/>
  <c r="L19" i="22" s="1"/>
  <c r="M19" i="22"/>
  <c r="K20" i="21"/>
  <c r="L20" i="21" s="1"/>
  <c r="M20" i="21"/>
  <c r="K22" i="19"/>
  <c r="L22" i="19" s="1"/>
  <c r="M22" i="19"/>
  <c r="K22" i="18"/>
  <c r="L22" i="18"/>
  <c r="M22" i="18"/>
  <c r="K23" i="4"/>
  <c r="L23" i="4"/>
  <c r="O23" i="4"/>
  <c r="M23" i="4"/>
  <c r="N23" i="4"/>
  <c r="K23" i="3"/>
  <c r="L23" i="3"/>
  <c r="M23" i="3"/>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c r="N105" i="4"/>
  <c r="O105" i="4"/>
  <c r="L104" i="3"/>
  <c r="M104" i="3"/>
  <c r="N23" i="3"/>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M100" i="31"/>
  <c r="L17" i="3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5" i="31"/>
  <c r="M105" i="31"/>
  <c r="O104" i="31"/>
  <c r="M104" i="31"/>
  <c r="O103" i="31"/>
  <c r="M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L23" i="31"/>
  <c r="N22" i="31"/>
  <c r="L22" i="31"/>
  <c r="N21" i="31"/>
  <c r="L21" i="31"/>
  <c r="N20" i="31"/>
  <c r="N17" i="31"/>
  <c r="O17"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10" i="19"/>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6" i="29"/>
  <c r="M106" i="29"/>
  <c r="O105" i="29"/>
  <c r="M105" i="29"/>
  <c r="O104" i="29"/>
  <c r="M104" i="29"/>
  <c r="O100" i="29"/>
  <c r="P100" i="29" s="1"/>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L24" i="29"/>
  <c r="N23" i="29"/>
  <c r="L23" i="29"/>
  <c r="N22" i="29"/>
  <c r="L22" i="29"/>
  <c r="N21" i="29"/>
  <c r="N17" i="29"/>
  <c r="C17" i="29"/>
  <c r="C18" i="29"/>
  <c r="C19" i="29" s="1"/>
  <c r="C20" i="29" s="1"/>
  <c r="C21" i="29" s="1"/>
  <c r="C22" i="29" s="1"/>
  <c r="C23" i="29" s="1"/>
  <c r="C24" i="29"/>
  <c r="C25" i="29" s="1"/>
  <c r="C26" i="29" s="1"/>
  <c r="C27" i="29" s="1"/>
  <c r="C28" i="29" s="1"/>
  <c r="C29" i="29" s="1"/>
  <c r="C30" i="29" s="1"/>
  <c r="C31" i="29" s="1"/>
  <c r="C32" i="29" s="1"/>
  <c r="K11" i="29"/>
  <c r="I11" i="29"/>
  <c r="D8" i="29"/>
  <c r="D91" i="29" s="1"/>
  <c r="B100" i="22"/>
  <c r="B18" i="22"/>
  <c r="B17" i="22"/>
  <c r="B102" i="28"/>
  <c r="B20" i="28"/>
  <c r="B19" i="28"/>
  <c r="B18" i="28"/>
  <c r="B17" i="28"/>
  <c r="D95" i="28"/>
  <c r="D94" i="28"/>
  <c r="M19" i="28"/>
  <c r="N19" i="28"/>
  <c r="O19" i="28" s="1"/>
  <c r="K19" i="28"/>
  <c r="L19" i="28"/>
  <c r="D95" i="27"/>
  <c r="D94" i="27"/>
  <c r="B20" i="27"/>
  <c r="B19" i="27"/>
  <c r="B18" i="27"/>
  <c r="B17" i="27"/>
  <c r="M19" i="27"/>
  <c r="N19" i="27" s="1"/>
  <c r="O19" i="27" s="1"/>
  <c r="K19" i="27"/>
  <c r="L19" i="27" s="1"/>
  <c r="M18" i="27"/>
  <c r="N18" i="27" s="1"/>
  <c r="K18" i="27"/>
  <c r="L18" i="27" s="1"/>
  <c r="O18" i="27" s="1"/>
  <c r="B101" i="26"/>
  <c r="D95" i="26"/>
  <c r="D94" i="26"/>
  <c r="B18" i="26"/>
  <c r="B17" i="26"/>
  <c r="B20" i="24"/>
  <c r="B19" i="24"/>
  <c r="B18" i="24"/>
  <c r="B17" i="24"/>
  <c r="B19" i="26"/>
  <c r="M18" i="26"/>
  <c r="N18" i="26"/>
  <c r="O18" i="26"/>
  <c r="K18" i="26"/>
  <c r="L18" i="26"/>
  <c r="D95" i="24"/>
  <c r="D94" i="24"/>
  <c r="M19" i="24"/>
  <c r="N19" i="24" s="1"/>
  <c r="K19" i="24"/>
  <c r="L19" i="24"/>
  <c r="B17" i="25"/>
  <c r="B19" i="23"/>
  <c r="B18" i="23"/>
  <c r="B17" i="23"/>
  <c r="B18" i="25"/>
  <c r="M17" i="25"/>
  <c r="N17" i="25" s="1"/>
  <c r="K17" i="25"/>
  <c r="L17" i="25" s="1"/>
  <c r="N100" i="23"/>
  <c r="O100" i="23"/>
  <c r="P100" i="23" s="1"/>
  <c r="M100" i="23"/>
  <c r="L100" i="23"/>
  <c r="M18" i="23"/>
  <c r="N18" i="23"/>
  <c r="O18" i="23" s="1"/>
  <c r="L18" i="23"/>
  <c r="K18" i="23"/>
  <c r="B101" i="22"/>
  <c r="N100" i="22"/>
  <c r="O100" i="22" s="1"/>
  <c r="L100" i="22"/>
  <c r="M100" i="22"/>
  <c r="B102" i="27"/>
  <c r="B19" i="22"/>
  <c r="M18" i="22"/>
  <c r="N18" i="22" s="1"/>
  <c r="O18" i="22" s="1"/>
  <c r="K18" i="22"/>
  <c r="L18" i="22"/>
  <c r="M19" i="21"/>
  <c r="N19" i="21" s="1"/>
  <c r="K19" i="21"/>
  <c r="L19" i="21"/>
  <c r="N103" i="19"/>
  <c r="O103" i="19" s="1"/>
  <c r="L103" i="19"/>
  <c r="M103" i="19" s="1"/>
  <c r="M21" i="19"/>
  <c r="N21" i="19"/>
  <c r="O21" i="19"/>
  <c r="L21" i="19"/>
  <c r="K21" i="19"/>
  <c r="N103" i="18"/>
  <c r="O103" i="18"/>
  <c r="P103" i="18"/>
  <c r="L103" i="18"/>
  <c r="M103" i="18"/>
  <c r="M21" i="18"/>
  <c r="N21" i="18" s="1"/>
  <c r="O21" i="18" s="1"/>
  <c r="K21" i="18"/>
  <c r="L21" i="18"/>
  <c r="N104" i="4"/>
  <c r="O104" i="4" s="1"/>
  <c r="P104" i="4" s="1"/>
  <c r="L104" i="4"/>
  <c r="M104" i="4" s="1"/>
  <c r="M22" i="4"/>
  <c r="N22" i="4" s="1"/>
  <c r="O22" i="4" s="1"/>
  <c r="L22" i="4"/>
  <c r="K22" i="4"/>
  <c r="N104" i="3"/>
  <c r="O104" i="3" s="1"/>
  <c r="P104" i="3" s="1"/>
  <c r="M22" i="3"/>
  <c r="N22" i="3" s="1"/>
  <c r="O22" i="3" s="1"/>
  <c r="K22" i="3"/>
  <c r="L22" i="3" s="1"/>
  <c r="W30" i="17"/>
  <c r="W29" i="17"/>
  <c r="M18" i="28"/>
  <c r="N18" i="28"/>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O102" i="28"/>
  <c r="P102" i="28"/>
  <c r="O101" i="28"/>
  <c r="P101" i="28" s="1"/>
  <c r="M101" i="28"/>
  <c r="O100" i="28"/>
  <c r="M100" i="28"/>
  <c r="C100" i="28"/>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N23" i="28"/>
  <c r="N20" i="28"/>
  <c r="C17" i="28"/>
  <c r="C18" i="28"/>
  <c r="C19" i="28"/>
  <c r="C20" i="28"/>
  <c r="C21" i="28" s="1"/>
  <c r="C22" i="28" s="1"/>
  <c r="C23" i="28" s="1"/>
  <c r="C24" i="28" s="1"/>
  <c r="C25" i="28" s="1"/>
  <c r="C26" i="28" s="1"/>
  <c r="C27" i="28" s="1"/>
  <c r="C28" i="28" s="1"/>
  <c r="C29" i="28" s="1"/>
  <c r="C30" i="28" s="1"/>
  <c r="C31" i="28" s="1"/>
  <c r="C32" i="28" s="1"/>
  <c r="K11" i="28"/>
  <c r="I11" i="28"/>
  <c r="M17" i="27"/>
  <c r="N17" i="27" s="1"/>
  <c r="O17" i="27" s="1"/>
  <c r="K17" i="27"/>
  <c r="L17" i="27"/>
  <c r="M17" i="26"/>
  <c r="N17" i="26" s="1"/>
  <c r="K17" i="26"/>
  <c r="L17" i="26"/>
  <c r="M18" i="24"/>
  <c r="N18" i="24" s="1"/>
  <c r="O18" i="24" s="1"/>
  <c r="K18" i="24"/>
  <c r="L18" i="24" s="1"/>
  <c r="M17" i="24"/>
  <c r="N17" i="24" s="1"/>
  <c r="O17" i="24" s="1"/>
  <c r="K17" i="24"/>
  <c r="L17" i="24"/>
  <c r="N102" i="18"/>
  <c r="O102" i="18"/>
  <c r="L102" i="18"/>
  <c r="M102" i="18" s="1"/>
  <c r="P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8" i="27"/>
  <c r="M108" i="27"/>
  <c r="O107" i="27"/>
  <c r="M107" i="27"/>
  <c r="O106" i="27"/>
  <c r="O102" i="27"/>
  <c r="O101" i="27"/>
  <c r="M101" i="27"/>
  <c r="O100" i="27"/>
  <c r="M100" i="27"/>
  <c r="P100" i="27" s="1"/>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L26" i="27"/>
  <c r="N25" i="27"/>
  <c r="L25" i="27"/>
  <c r="N20"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8" i="26"/>
  <c r="M108" i="26"/>
  <c r="O107" i="26"/>
  <c r="M107" i="26"/>
  <c r="O106" i="26"/>
  <c r="M106" i="26"/>
  <c r="O105" i="26"/>
  <c r="O101" i="26"/>
  <c r="P101"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L26" i="26"/>
  <c r="N25" i="26"/>
  <c r="L25" i="26"/>
  <c r="N24" i="26"/>
  <c r="L24" i="26"/>
  <c r="N19" i="26"/>
  <c r="C18" i="26"/>
  <c r="C19" i="26"/>
  <c r="C20" i="26" s="1"/>
  <c r="C21" i="26" s="1"/>
  <c r="C22" i="26" s="1"/>
  <c r="C23" i="26" s="1"/>
  <c r="C24" i="26" s="1"/>
  <c r="C25" i="26" s="1"/>
  <c r="C26" i="26" s="1"/>
  <c r="C27" i="26" s="1"/>
  <c r="C28" i="26" s="1"/>
  <c r="C29" i="26" s="1"/>
  <c r="C30" i="26" s="1"/>
  <c r="C31" i="26" s="1"/>
  <c r="C32" i="26" s="1"/>
  <c r="C17" i="26"/>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7" i="25"/>
  <c r="M107" i="25"/>
  <c r="O106" i="25"/>
  <c r="M106" i="25"/>
  <c r="O105" i="25"/>
  <c r="M105" i="25"/>
  <c r="O104" i="25"/>
  <c r="O100"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L25" i="25"/>
  <c r="N24" i="25"/>
  <c r="L24" i="25"/>
  <c r="N23" i="25"/>
  <c r="L23" i="25"/>
  <c r="N22" i="25"/>
  <c r="N18" i="25"/>
  <c r="C18" i="25"/>
  <c r="C19" i="25" s="1"/>
  <c r="C20" i="25" s="1"/>
  <c r="C21" i="25" s="1"/>
  <c r="C22" i="25" s="1"/>
  <c r="C23" i="25" s="1"/>
  <c r="C24" i="25" s="1"/>
  <c r="C25" i="25" s="1"/>
  <c r="C26" i="25" s="1"/>
  <c r="C27" i="25" s="1"/>
  <c r="C28" i="25" s="1"/>
  <c r="C29" i="25" s="1"/>
  <c r="C30" i="25" s="1"/>
  <c r="C31" i="25" s="1"/>
  <c r="C32" i="25" s="1"/>
  <c r="C17" i="25"/>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9" i="24"/>
  <c r="M109" i="24"/>
  <c r="O108" i="24"/>
  <c r="M108" i="24"/>
  <c r="O107" i="24"/>
  <c r="M107" i="24"/>
  <c r="O102"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L27" i="24"/>
  <c r="N26" i="24"/>
  <c r="L26" i="24"/>
  <c r="N25" i="24"/>
  <c r="L25" i="24"/>
  <c r="N24" i="24"/>
  <c r="N20"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O17" i="23" s="1"/>
  <c r="K17" i="23"/>
  <c r="L17" i="23" s="1"/>
  <c r="M17" i="22"/>
  <c r="N17" i="22"/>
  <c r="O17" i="22" s="1"/>
  <c r="K17" i="22"/>
  <c r="L17" i="22" s="1"/>
  <c r="N101" i="21"/>
  <c r="O101" i="21"/>
  <c r="L101" i="21"/>
  <c r="M101" i="21" s="1"/>
  <c r="M18" i="21"/>
  <c r="N18" i="21" s="1"/>
  <c r="O18" i="21" s="1"/>
  <c r="K18" i="21"/>
  <c r="L18" i="21"/>
  <c r="N102" i="19"/>
  <c r="O102" i="19" s="1"/>
  <c r="L102" i="19"/>
  <c r="M102" i="19"/>
  <c r="M20" i="19"/>
  <c r="N20" i="19" s="1"/>
  <c r="K20" i="19"/>
  <c r="L20" i="19"/>
  <c r="M20" i="18"/>
  <c r="N20" i="18" s="1"/>
  <c r="K20" i="18"/>
  <c r="L20" i="18"/>
  <c r="N103" i="4"/>
  <c r="O103" i="4" s="1"/>
  <c r="L103" i="4"/>
  <c r="M103" i="4" s="1"/>
  <c r="M21" i="4"/>
  <c r="N21" i="4" s="1"/>
  <c r="K21" i="4"/>
  <c r="L21" i="4"/>
  <c r="N103" i="3"/>
  <c r="O103" i="3" s="1"/>
  <c r="L103" i="3"/>
  <c r="M103" i="3" s="1"/>
  <c r="M21" i="3"/>
  <c r="N21" i="3" s="1"/>
  <c r="K21" i="3"/>
  <c r="L21" i="3"/>
  <c r="D8" i="23"/>
  <c r="D8" i="22"/>
  <c r="D91" i="22" s="1"/>
  <c r="D8" i="21"/>
  <c r="D8" i="19"/>
  <c r="D8" i="18"/>
  <c r="D91" i="18" s="1"/>
  <c r="D8" i="4"/>
  <c r="D8" i="3"/>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8" i="23"/>
  <c r="M108" i="23"/>
  <c r="O107" i="23"/>
  <c r="M107" i="23"/>
  <c r="O106" i="23"/>
  <c r="M106" i="23"/>
  <c r="D97" i="23"/>
  <c r="L94" i="23"/>
  <c r="J94" i="23"/>
  <c r="D92" i="23"/>
  <c r="D91"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L26" i="23"/>
  <c r="N25" i="23"/>
  <c r="L25" i="23"/>
  <c r="N24" i="23"/>
  <c r="L24" i="23"/>
  <c r="N23" i="23"/>
  <c r="N19"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8" i="22"/>
  <c r="M108" i="22"/>
  <c r="O107" i="22"/>
  <c r="M107" i="22"/>
  <c r="O106" i="22"/>
  <c r="M106"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L26" i="22"/>
  <c r="N25" i="22"/>
  <c r="L25" i="22"/>
  <c r="N24" i="22"/>
  <c r="L24" i="22"/>
  <c r="N23" i="22"/>
  <c r="N19"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c r="O19" i="19" s="1"/>
  <c r="K19" i="19"/>
  <c r="L19" i="19" s="1"/>
  <c r="N101" i="18"/>
  <c r="O101" i="18" s="1"/>
  <c r="L101" i="18"/>
  <c r="M101" i="18" s="1"/>
  <c r="M19" i="18"/>
  <c r="N19" i="18" s="1"/>
  <c r="O19" i="18" s="1"/>
  <c r="K19" i="18"/>
  <c r="L19" i="18" s="1"/>
  <c r="N102" i="4"/>
  <c r="O102" i="4" s="1"/>
  <c r="P102" i="4" s="1"/>
  <c r="L102" i="4"/>
  <c r="M102" i="4" s="1"/>
  <c r="M20" i="4"/>
  <c r="N20" i="4" s="1"/>
  <c r="K20" i="4"/>
  <c r="L20" i="4" s="1"/>
  <c r="M20" i="3"/>
  <c r="N20" i="3" s="1"/>
  <c r="K20" i="3"/>
  <c r="L20" i="3" s="1"/>
  <c r="N102" i="3"/>
  <c r="O102" i="3" s="1"/>
  <c r="P102" i="3" s="1"/>
  <c r="L102" i="3"/>
  <c r="M102" i="3" s="1"/>
  <c r="F78" i="1"/>
  <c r="W23" i="17"/>
  <c r="W22" i="17"/>
  <c r="B21" i="18"/>
  <c r="B19" i="21"/>
  <c r="B21" i="3"/>
  <c r="M17" i="21"/>
  <c r="K17" i="21"/>
  <c r="M17" i="20"/>
  <c r="K17" i="20"/>
  <c r="L17" i="20"/>
  <c r="N100" i="19"/>
  <c r="L100" i="19"/>
  <c r="M18" i="19"/>
  <c r="K18" i="19"/>
  <c r="L18" i="19"/>
  <c r="N100" i="18"/>
  <c r="L100" i="18"/>
  <c r="M18" i="18"/>
  <c r="K18" i="18"/>
  <c r="L18" i="18" s="1"/>
  <c r="N101" i="4"/>
  <c r="L101" i="4"/>
  <c r="M19" i="4"/>
  <c r="K19" i="4"/>
  <c r="L19" i="4"/>
  <c r="N101" i="3"/>
  <c r="L101" i="3"/>
  <c r="M19" i="3"/>
  <c r="N19" i="3"/>
  <c r="O19" i="3" s="1"/>
  <c r="K19" i="3"/>
  <c r="L19" i="3" s="1"/>
  <c r="J95" i="3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C17" i="18"/>
  <c r="C18" i="18" s="1"/>
  <c r="C19" i="18" s="1"/>
  <c r="C20" i="18" s="1"/>
  <c r="C21" i="18" s="1"/>
  <c r="C22" i="18" s="1"/>
  <c r="C23" i="18" s="1"/>
  <c r="C24" i="18" s="1"/>
  <c r="C25" i="18" s="1"/>
  <c r="C26" i="18" s="1"/>
  <c r="C27" i="18" s="1"/>
  <c r="C28" i="18" s="1"/>
  <c r="C29" i="18" s="1"/>
  <c r="C30" i="18" s="1"/>
  <c r="C31" i="18" s="1"/>
  <c r="C32" i="18" s="1"/>
  <c r="K17" i="18"/>
  <c r="C17" i="19"/>
  <c r="C18" i="19"/>
  <c r="C19" i="19" s="1"/>
  <c r="C20" i="19" s="1"/>
  <c r="C21" i="19" s="1"/>
  <c r="C22" i="19" s="1"/>
  <c r="C23" i="19" s="1"/>
  <c r="C24" i="19" s="1"/>
  <c r="C25" i="19" s="1"/>
  <c r="C26" i="19" s="1"/>
  <c r="C27" i="19" s="1"/>
  <c r="C28" i="19" s="1"/>
  <c r="C29" i="19" s="1"/>
  <c r="C30" i="19" s="1"/>
  <c r="C31" i="19" s="1"/>
  <c r="C32" i="19" s="1"/>
  <c r="K17" i="19"/>
  <c r="L17" i="19"/>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L17" i="21"/>
  <c r="N17" i="21"/>
  <c r="O17" i="21"/>
  <c r="N20" i="21"/>
  <c r="N24" i="21"/>
  <c r="L25" i="21"/>
  <c r="N25" i="21"/>
  <c r="L26" i="21"/>
  <c r="N26" i="21"/>
  <c r="L27"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1" i="21"/>
  <c r="D92" i="21"/>
  <c r="J94" i="21"/>
  <c r="L94" i="21"/>
  <c r="D97" i="21"/>
  <c r="O102" i="21"/>
  <c r="P102" i="21"/>
  <c r="O106" i="21"/>
  <c r="M107" i="21"/>
  <c r="O107" i="21"/>
  <c r="M108" i="21"/>
  <c r="O108" i="21"/>
  <c r="M109" i="21"/>
  <c r="O109"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P1" i="20"/>
  <c r="P84" i="20" s="1"/>
  <c r="H3" i="20"/>
  <c r="K11" i="20"/>
  <c r="B17" i="20"/>
  <c r="N17" i="20"/>
  <c r="O17" i="20" s="1"/>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00" i="4"/>
  <c r="L100" i="4"/>
  <c r="M100" i="4"/>
  <c r="M18" i="4"/>
  <c r="N100" i="3"/>
  <c r="L100" i="3"/>
  <c r="M100" i="3" s="1"/>
  <c r="M18" i="3"/>
  <c r="C17" i="13"/>
  <c r="W21" i="17"/>
  <c r="W20" i="17"/>
  <c r="K17" i="3"/>
  <c r="K17" i="4"/>
  <c r="L17" i="4" s="1"/>
  <c r="O17" i="4" s="1"/>
  <c r="P1" i="19"/>
  <c r="P84" i="19" s="1"/>
  <c r="H3" i="19"/>
  <c r="K11" i="19"/>
  <c r="B17" i="19"/>
  <c r="I17" i="19"/>
  <c r="N17" i="19"/>
  <c r="O17" i="19"/>
  <c r="B18" i="19"/>
  <c r="N18" i="19"/>
  <c r="O18" i="19"/>
  <c r="N22" i="19"/>
  <c r="N26" i="19"/>
  <c r="L27" i="19"/>
  <c r="N27" i="19"/>
  <c r="L28" i="19"/>
  <c r="N28" i="19"/>
  <c r="L29"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1" i="19"/>
  <c r="D92" i="19"/>
  <c r="J94" i="19"/>
  <c r="L94" i="19"/>
  <c r="D97" i="19"/>
  <c r="M100" i="19"/>
  <c r="P100" i="19"/>
  <c r="O100" i="19"/>
  <c r="O108" i="19"/>
  <c r="M109" i="19"/>
  <c r="O109" i="19"/>
  <c r="M110" i="19"/>
  <c r="O110" i="19"/>
  <c r="M111" i="19"/>
  <c r="O111"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L17" i="18"/>
  <c r="N17" i="18"/>
  <c r="O17" i="18" s="1"/>
  <c r="B18" i="18"/>
  <c r="N18" i="18"/>
  <c r="O18" i="18" s="1"/>
  <c r="N22" i="18"/>
  <c r="N26" i="18"/>
  <c r="L27" i="18"/>
  <c r="N27" i="18"/>
  <c r="L28" i="18"/>
  <c r="N28" i="18"/>
  <c r="L29"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M100" i="18"/>
  <c r="O100" i="18"/>
  <c r="O108" i="18"/>
  <c r="M109" i="18"/>
  <c r="O109" i="18"/>
  <c r="M110" i="18"/>
  <c r="O110" i="18"/>
  <c r="M111" i="18"/>
  <c r="O111"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B101" i="4"/>
  <c r="B100" i="4"/>
  <c r="B19" i="4"/>
  <c r="B18" i="4"/>
  <c r="B19" i="3"/>
  <c r="B18" i="3"/>
  <c r="B100" i="3"/>
  <c r="M17" i="3"/>
  <c r="N17" i="3"/>
  <c r="O17" i="3" s="1"/>
  <c r="P1" i="13"/>
  <c r="P84" i="13" s="1"/>
  <c r="P1" i="4"/>
  <c r="P84" i="4" s="1"/>
  <c r="P1" i="3"/>
  <c r="P84" i="3" s="1"/>
  <c r="P12" i="17"/>
  <c r="R12" i="17"/>
  <c r="L12" i="17"/>
  <c r="W19" i="17"/>
  <c r="W18" i="17"/>
  <c r="G12" i="17"/>
  <c r="T12" i="17" s="1"/>
  <c r="H3" i="3"/>
  <c r="H3" i="4"/>
  <c r="D91" i="4"/>
  <c r="D91" i="3"/>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N17" i="4"/>
  <c r="I18" i="4"/>
  <c r="L18" i="4"/>
  <c r="N18" i="4"/>
  <c r="O18" i="4"/>
  <c r="N19" i="4"/>
  <c r="O19" i="4" s="1"/>
  <c r="L28" i="4"/>
  <c r="N28" i="4"/>
  <c r="L29" i="4"/>
  <c r="N29" i="4"/>
  <c r="L30"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00" i="4"/>
  <c r="P100" i="4" s="1"/>
  <c r="M101" i="4"/>
  <c r="P101" i="4"/>
  <c r="O101" i="4"/>
  <c r="M111" i="4"/>
  <c r="O111" i="4"/>
  <c r="M112" i="4"/>
  <c r="O112"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L17" i="3"/>
  <c r="I18" i="3"/>
  <c r="N18" i="3"/>
  <c r="O18" i="3"/>
  <c r="L28" i="3"/>
  <c r="N28" i="3"/>
  <c r="L29" i="3"/>
  <c r="N29" i="3"/>
  <c r="L30"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0" i="3"/>
  <c r="M101" i="3"/>
  <c r="P101" i="3"/>
  <c r="O101" i="3"/>
  <c r="O109" i="3"/>
  <c r="M110"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C76" i="2" s="1"/>
  <c r="J100" i="4"/>
  <c r="J100" i="3"/>
  <c r="E18" i="2"/>
  <c r="E17" i="2"/>
  <c r="E24" i="2"/>
  <c r="F64" i="2"/>
  <c r="C90" i="2"/>
  <c r="C89" i="2"/>
  <c r="C64" i="2"/>
  <c r="C31" i="2"/>
  <c r="C24" i="2"/>
  <c r="C12" i="2"/>
  <c r="P100" i="18"/>
  <c r="B101" i="3"/>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P102" i="19"/>
  <c r="O20" i="19"/>
  <c r="O20" i="18"/>
  <c r="B22" i="4"/>
  <c r="B23" i="3"/>
  <c r="C100" i="24"/>
  <c r="C101" i="24"/>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B23" i="4"/>
  <c r="B102" i="18"/>
  <c r="M17" i="28"/>
  <c r="N17" i="28" s="1"/>
  <c r="K17" i="28"/>
  <c r="L17" i="28" s="1"/>
  <c r="C100" i="27"/>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C100" i="26"/>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J102" i="18"/>
  <c r="I22" i="3"/>
  <c r="B105" i="3"/>
  <c r="B104" i="3"/>
  <c r="B103" i="18"/>
  <c r="B104" i="4"/>
  <c r="B100" i="25"/>
  <c r="I13" i="17"/>
  <c r="E13" i="17"/>
  <c r="H3" i="17"/>
  <c r="B105" i="4"/>
  <c r="B103" i="19"/>
  <c r="B22" i="18"/>
  <c r="P100" i="28"/>
  <c r="P101" i="27"/>
  <c r="P100" i="26"/>
  <c r="P100" i="24"/>
  <c r="B104" i="19"/>
  <c r="P105" i="4"/>
  <c r="O20" i="3"/>
  <c r="O21" i="3"/>
  <c r="O100" i="31"/>
  <c r="J105" i="4"/>
  <c r="B104" i="18"/>
  <c r="O19" i="22"/>
  <c r="O19" i="23"/>
  <c r="O18" i="25"/>
  <c r="O20" i="24"/>
  <c r="O19" i="26"/>
  <c r="O22" i="18"/>
  <c r="O20" i="21"/>
  <c r="O20" i="28"/>
  <c r="O17" i="29"/>
  <c r="B20" i="26"/>
  <c r="O20" i="27"/>
  <c r="O23" i="3"/>
  <c r="O22" i="19"/>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C45" i="34"/>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9" i="25"/>
  <c r="B103" i="28"/>
  <c r="B103" i="27"/>
  <c r="P102" i="27"/>
  <c r="P102" i="24"/>
  <c r="P100" i="25"/>
  <c r="B101" i="25"/>
  <c r="P101" i="23"/>
  <c r="B103" i="21"/>
  <c r="P105" i="3"/>
  <c r="C18" i="13"/>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B17" i="13"/>
  <c r="I14" i="13"/>
  <c r="E17" i="13"/>
  <c r="F17" i="13" s="1"/>
  <c r="D18" i="13" s="1"/>
  <c r="B18" i="13" s="1"/>
  <c r="B102" i="22"/>
  <c r="A5" i="2"/>
  <c r="I12" i="21"/>
  <c r="I13" i="21" s="1"/>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L18" i="29"/>
  <c r="O18" i="29" s="1"/>
  <c r="P103" i="28"/>
  <c r="B22" i="28"/>
  <c r="P103" i="27"/>
  <c r="B22" i="27"/>
  <c r="P102" i="26"/>
  <c r="N20" i="26"/>
  <c r="O20" i="26"/>
  <c r="P101" i="24"/>
  <c r="B102" i="24"/>
  <c r="B104" i="24"/>
  <c r="N21" i="24"/>
  <c r="O21" i="24"/>
  <c r="B102" i="25"/>
  <c r="O19" i="25"/>
  <c r="B21" i="22"/>
  <c r="B22" i="21"/>
  <c r="P105" i="19"/>
  <c r="P106" i="4"/>
  <c r="I17" i="35"/>
  <c r="I21" i="28"/>
  <c r="B106" i="3"/>
  <c r="B107" i="4"/>
  <c r="B105" i="18"/>
  <c r="J106" i="4"/>
  <c r="J100" i="29"/>
  <c r="J106" i="3"/>
  <c r="J102" i="23"/>
  <c r="J102" i="22"/>
  <c r="J105" i="18"/>
  <c r="J97" i="13"/>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B107" i="3"/>
  <c r="D17" i="1"/>
  <c r="E17" i="1"/>
  <c r="I10" i="18"/>
  <c r="D95" i="18" s="1"/>
  <c r="I10" i="22"/>
  <c r="D93" i="22" s="1"/>
  <c r="B104" i="22" s="1"/>
  <c r="I10" i="26"/>
  <c r="I10" i="29"/>
  <c r="D95" i="29" s="1"/>
  <c r="E100" i="13"/>
  <c r="B100" i="34"/>
  <c r="B103" i="22"/>
  <c r="E18" i="1"/>
  <c r="E39" i="17"/>
  <c r="B100" i="35"/>
  <c r="J95" i="27"/>
  <c r="J96" i="27" s="1"/>
  <c r="C128" i="24"/>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B24" i="18"/>
  <c r="B21" i="26"/>
  <c r="B20" i="25"/>
  <c r="B18" i="35"/>
  <c r="O20" i="4"/>
  <c r="P100" i="21"/>
  <c r="P39" i="17"/>
  <c r="P101" i="18"/>
  <c r="P103" i="3"/>
  <c r="P103" i="4"/>
  <c r="P101" i="21"/>
  <c r="O21" i="4"/>
  <c r="O17" i="26"/>
  <c r="O18" i="28"/>
  <c r="O19" i="21"/>
  <c r="P100" i="22"/>
  <c r="O19" i="24"/>
  <c r="O17" i="25"/>
  <c r="C100" i="3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B100" i="31"/>
  <c r="O24" i="4"/>
  <c r="P103" i="21"/>
  <c r="O20" i="22"/>
  <c r="O20" i="23"/>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P100" i="35"/>
  <c r="O17" i="35"/>
  <c r="P100" i="34"/>
  <c r="B101" i="31"/>
  <c r="P100" i="31"/>
  <c r="P103" i="26"/>
  <c r="B105" i="24"/>
  <c r="B103" i="25"/>
  <c r="I18" i="35"/>
  <c r="B19" i="34"/>
  <c r="J95" i="20"/>
  <c r="J96" i="20" s="1"/>
  <c r="J95" i="29"/>
  <c r="J96" i="29" s="1"/>
  <c r="F52" i="2"/>
  <c r="J96" i="31"/>
  <c r="J95" i="18"/>
  <c r="J96" i="18" s="1"/>
  <c r="J95" i="38"/>
  <c r="J95" i="34"/>
  <c r="J96" i="34" s="1"/>
  <c r="J95" i="28"/>
  <c r="J96" i="28" s="1"/>
  <c r="J95" i="4"/>
  <c r="J96" i="4" s="1"/>
  <c r="J95" i="37"/>
  <c r="J96" i="37" s="1"/>
  <c r="J95" i="3"/>
  <c r="J96" i="3" s="1"/>
  <c r="J95" i="23"/>
  <c r="J96" i="23" s="1"/>
  <c r="J95" i="19"/>
  <c r="J95" i="22"/>
  <c r="J96" i="22" s="1"/>
  <c r="J95" i="24"/>
  <c r="J96" i="24" s="1"/>
  <c r="J95" i="26"/>
  <c r="J96" i="26" s="1"/>
  <c r="J95" i="35"/>
  <c r="J96" i="35" s="1"/>
  <c r="J95" i="25"/>
  <c r="J96" i="25" s="1"/>
  <c r="J95" i="21"/>
  <c r="J96" i="21" s="1"/>
  <c r="J95" i="13"/>
  <c r="J96" i="13" s="1"/>
  <c r="J96" i="19"/>
  <c r="O46" i="17"/>
  <c r="E46" i="17"/>
  <c r="N46" i="17"/>
  <c r="C46" i="17"/>
  <c r="F46" i="17"/>
  <c r="C28" i="2" l="1"/>
  <c r="O72" i="1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D95" i="4"/>
  <c r="I12" i="20"/>
  <c r="I13" i="20" s="1"/>
  <c r="I12" i="39"/>
  <c r="D95" i="23"/>
  <c r="D93" i="18"/>
  <c r="B107" i="18" s="1"/>
  <c r="C59" i="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I12" i="26"/>
  <c r="I13" i="26" s="1"/>
  <c r="O42" i="37"/>
  <c r="O52" i="37"/>
  <c r="O54" i="37"/>
  <c r="O64" i="34"/>
  <c r="O21" i="27"/>
  <c r="O21" i="22"/>
  <c r="O24" i="19"/>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D95" i="20"/>
  <c r="E100" i="20"/>
  <c r="F100" i="20" s="1"/>
  <c r="O30" i="23"/>
  <c r="O52" i="23"/>
  <c r="O54" i="23"/>
  <c r="O66" i="23"/>
  <c r="O28" i="24"/>
  <c r="O62" i="24"/>
  <c r="O72" i="24"/>
  <c r="O24" i="25"/>
  <c r="O26" i="25"/>
  <c r="O28" i="25"/>
  <c r="O30" i="25"/>
  <c r="O36" i="25"/>
  <c r="O38" i="25"/>
  <c r="O44" i="25"/>
  <c r="O64" i="25"/>
  <c r="O66" i="25"/>
  <c r="O68" i="25"/>
  <c r="O70" i="25"/>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F14" i="1"/>
  <c r="E19" i="1" s="1"/>
  <c r="F19" i="1" s="1"/>
  <c r="C76" i="1"/>
  <c r="C79" i="1"/>
  <c r="C8" i="1"/>
  <c r="F18" i="1"/>
  <c r="C73" i="1"/>
  <c r="C53" i="1"/>
  <c r="C14" i="1"/>
  <c r="C22" i="1"/>
  <c r="C60"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4" i="35"/>
  <c r="O26" i="35"/>
  <c r="O28" i="35"/>
  <c r="J39" i="17"/>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09" i="24"/>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12"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06" i="29"/>
  <c r="P123" i="31"/>
  <c r="P127" i="31"/>
  <c r="P133" i="31"/>
  <c r="P135" i="31"/>
  <c r="P139" i="31"/>
  <c r="P129" i="13"/>
  <c r="P125" i="13"/>
  <c r="P121" i="13"/>
  <c r="P117" i="13"/>
  <c r="P113" i="13"/>
  <c r="P109" i="13"/>
  <c r="P103" i="13"/>
  <c r="P153" i="21"/>
  <c r="P145" i="21"/>
  <c r="P120" i="31"/>
  <c r="P127" i="37"/>
  <c r="P115" i="3"/>
  <c r="P111" i="3"/>
  <c r="P122" i="31"/>
  <c r="P120" i="13"/>
  <c r="P105" i="34"/>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22" i="25"/>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E18" i="13"/>
  <c r="F18" i="13" s="1"/>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4" i="1"/>
  <c r="A2" i="1"/>
  <c r="A2" i="2" s="1"/>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D100" i="20"/>
  <c r="B100" i="20" s="1"/>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D96" i="39" s="1"/>
  <c r="J97" i="39"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08" i="22"/>
  <c r="P112" i="22"/>
  <c r="P116" i="23"/>
  <c r="P120" i="23"/>
  <c r="P124" i="23"/>
  <c r="P128" i="23"/>
  <c r="P107" i="25"/>
  <c r="P111" i="25"/>
  <c r="P115" i="25"/>
  <c r="P111" i="26"/>
  <c r="P115" i="26"/>
  <c r="P119" i="26"/>
  <c r="P127" i="26"/>
  <c r="P131" i="26"/>
  <c r="P105" i="31"/>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5" i="35"/>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12" i="3"/>
  <c r="P155" i="4"/>
  <c r="P151" i="4"/>
  <c r="P147" i="4"/>
  <c r="P143" i="4"/>
  <c r="P139" i="4"/>
  <c r="P135" i="4"/>
  <c r="P131" i="4"/>
  <c r="P127" i="4"/>
  <c r="P123" i="4"/>
  <c r="P119" i="4"/>
  <c r="P115" i="4"/>
  <c r="P111" i="4"/>
  <c r="P147" i="20"/>
  <c r="P143" i="20"/>
  <c r="P127" i="21"/>
  <c r="P115" i="21"/>
  <c r="P106" i="26"/>
  <c r="P118" i="26"/>
  <c r="P108" i="27"/>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1" i="19"/>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08" i="26"/>
  <c r="P116" i="26"/>
  <c r="P119" i="28"/>
  <c r="P128" i="4"/>
  <c r="P121" i="19"/>
  <c r="P110" i="19"/>
  <c r="P154" i="21"/>
  <c r="P147" i="21"/>
  <c r="P143" i="21"/>
  <c r="P131" i="21"/>
  <c r="P113" i="21"/>
  <c r="P109"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15" i="37"/>
  <c r="P126" i="3"/>
  <c r="P122" i="3"/>
  <c r="P114" i="3"/>
  <c r="P153" i="4"/>
  <c r="P145" i="4"/>
  <c r="P141" i="4"/>
  <c r="P137" i="4"/>
  <c r="P133" i="4"/>
  <c r="P125" i="4"/>
  <c r="P109" i="4"/>
  <c r="P151" i="18"/>
  <c r="P147" i="18"/>
  <c r="P143" i="18"/>
  <c r="P139" i="18"/>
  <c r="P135" i="18"/>
  <c r="P138" i="19"/>
  <c r="P118" i="19"/>
  <c r="P121" i="21"/>
  <c r="P128" i="22"/>
  <c r="P108" i="23"/>
  <c r="P112" i="23"/>
  <c r="P105" i="26"/>
  <c r="P126" i="26"/>
  <c r="P111" i="28"/>
  <c r="P115" i="28"/>
  <c r="P111" i="34"/>
  <c r="P115" i="34"/>
  <c r="P127" i="34"/>
  <c r="P131" i="34"/>
  <c r="P124" i="35"/>
  <c r="P128" i="35"/>
  <c r="P104" i="38"/>
  <c r="P117" i="19"/>
  <c r="P116" i="22"/>
  <c r="P120" i="22"/>
  <c r="P124" i="22"/>
  <c r="P117" i="27"/>
  <c r="P124" i="28"/>
  <c r="P104" i="37"/>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D95" i="35"/>
  <c r="D94" i="35"/>
  <c r="C128" i="34"/>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P111" i="23"/>
  <c r="P107" i="22"/>
  <c r="P118" i="23"/>
  <c r="C100" i="25"/>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C30" i="17"/>
  <c r="C31" i="17"/>
  <c r="C27" i="17"/>
  <c r="C36" i="17"/>
  <c r="C25" i="17"/>
  <c r="C18" i="17"/>
  <c r="C33" i="17"/>
  <c r="C26" i="17"/>
  <c r="C28" i="17"/>
  <c r="C37" i="17"/>
  <c r="C35" i="17"/>
  <c r="C19" i="17"/>
  <c r="C24" i="17"/>
  <c r="C21" i="17"/>
  <c r="C32" i="17"/>
  <c r="C22" i="17"/>
  <c r="C23" i="17"/>
  <c r="C29" i="17"/>
  <c r="C34" i="17"/>
  <c r="C20" i="17"/>
  <c r="F89" i="1" l="1"/>
  <c r="D13" i="21" s="1"/>
  <c r="C33" i="21" s="1"/>
  <c r="C34" i="21" s="1"/>
  <c r="C35" i="21" s="1"/>
  <c r="C36" i="21" s="1"/>
  <c r="C37" i="21" s="1"/>
  <c r="C38" i="21" s="1"/>
  <c r="C39" i="21" s="1"/>
  <c r="C40" i="21" s="1"/>
  <c r="C41" i="21" s="1"/>
  <c r="C42" i="21" s="1"/>
  <c r="C43" i="21" s="1"/>
  <c r="C44" i="21" s="1"/>
  <c r="C45" i="21" s="1"/>
  <c r="I13" i="39"/>
  <c r="K37" i="17"/>
  <c r="L37" i="17" s="1"/>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E100" i="39"/>
  <c r="F100" i="39"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K21" i="17"/>
  <c r="K20" i="17"/>
  <c r="K32" i="17"/>
  <c r="K35" i="17"/>
  <c r="K24" i="17"/>
  <c r="K33" i="17"/>
  <c r="K19" i="17"/>
  <c r="K30" i="17"/>
  <c r="K25" i="17"/>
  <c r="K34" i="17"/>
  <c r="K28" i="17"/>
  <c r="K31" i="17"/>
  <c r="K26" i="17"/>
  <c r="K27" i="17"/>
  <c r="K29" i="17"/>
  <c r="K36" i="17"/>
  <c r="K23" i="17"/>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19" i="13"/>
  <c r="G18" i="13"/>
  <c r="D96" i="27"/>
  <c r="J97" i="27" s="1"/>
  <c r="E106" i="27" s="1"/>
  <c r="F106" i="27" s="1"/>
  <c r="D96" i="24"/>
  <c r="J97" i="24" s="1"/>
  <c r="D96" i="29"/>
  <c r="J97" i="29" s="1"/>
  <c r="D96" i="23"/>
  <c r="J97" i="23" s="1"/>
  <c r="D96" i="21"/>
  <c r="J97" i="21" s="1"/>
  <c r="E107" i="21" s="1"/>
  <c r="F107" i="21" s="1"/>
  <c r="D96" i="18"/>
  <c r="J97" i="18" s="1"/>
  <c r="D96" i="20"/>
  <c r="D96" i="38"/>
  <c r="J97" i="38" s="1"/>
  <c r="D96" i="13"/>
  <c r="D96" i="34"/>
  <c r="J97" i="34" s="1"/>
  <c r="D96" i="22"/>
  <c r="J97" i="22" s="1"/>
  <c r="D96" i="3"/>
  <c r="J97" i="3" s="1"/>
  <c r="D96" i="4"/>
  <c r="J97" i="4" s="1"/>
  <c r="D96" i="31"/>
  <c r="J97" i="31" s="1"/>
  <c r="D96" i="37"/>
  <c r="J97" i="37" s="1"/>
  <c r="D96" i="35"/>
  <c r="J97" i="35" s="1"/>
  <c r="D96" i="26"/>
  <c r="J97" i="26" s="1"/>
  <c r="D96" i="28"/>
  <c r="J97" i="28" s="1"/>
  <c r="D96" i="19"/>
  <c r="J97" i="19" s="1"/>
  <c r="D96" i="25"/>
  <c r="J97" i="25" s="1"/>
  <c r="G100" i="20"/>
  <c r="D101" i="20"/>
  <c r="E101" i="20"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D13" i="19" l="1"/>
  <c r="C33" i="19" s="1"/>
  <c r="C34" i="19" s="1"/>
  <c r="C35" i="19" s="1"/>
  <c r="C36" i="19" s="1"/>
  <c r="C37" i="19" s="1"/>
  <c r="C38" i="19" s="1"/>
  <c r="C39" i="19" s="1"/>
  <c r="C40" i="19" s="1"/>
  <c r="C41" i="19" s="1"/>
  <c r="C42" i="19" s="1"/>
  <c r="C43" i="19" s="1"/>
  <c r="C44" i="19" s="1"/>
  <c r="C45" i="19" s="1"/>
  <c r="D13" i="18"/>
  <c r="C33" i="18" s="1"/>
  <c r="C34" i="18" s="1"/>
  <c r="C35" i="18" s="1"/>
  <c r="C36" i="18" s="1"/>
  <c r="C37" i="18" s="1"/>
  <c r="C38" i="18" s="1"/>
  <c r="C39" i="18" s="1"/>
  <c r="C40" i="18" s="1"/>
  <c r="C41" i="18" s="1"/>
  <c r="C42" i="18" s="1"/>
  <c r="C43" i="18" s="1"/>
  <c r="C44" i="18" s="1"/>
  <c r="C45" i="18" s="1"/>
  <c r="D13" i="27"/>
  <c r="I14" i="27" s="1"/>
  <c r="D13" i="38"/>
  <c r="C73" i="38" s="1"/>
  <c r="D13" i="24"/>
  <c r="D13" i="34"/>
  <c r="I14" i="34" s="1"/>
  <c r="D13" i="37"/>
  <c r="I14" i="37" s="1"/>
  <c r="D13" i="20"/>
  <c r="D13" i="35"/>
  <c r="C73" i="35" s="1"/>
  <c r="D13" i="25"/>
  <c r="I14" i="25" s="1"/>
  <c r="D13" i="23"/>
  <c r="C33" i="23" s="1"/>
  <c r="C34" i="23" s="1"/>
  <c r="C35" i="23" s="1"/>
  <c r="C36" i="23" s="1"/>
  <c r="C37" i="23" s="1"/>
  <c r="C38" i="23" s="1"/>
  <c r="C39" i="23" s="1"/>
  <c r="C40" i="23" s="1"/>
  <c r="C41" i="23" s="1"/>
  <c r="C42" i="23" s="1"/>
  <c r="C43" i="23" s="1"/>
  <c r="C44" i="23" s="1"/>
  <c r="C45" i="23" s="1"/>
  <c r="D13" i="28"/>
  <c r="I14" i="28" s="1"/>
  <c r="E23" i="28" s="1"/>
  <c r="D13" i="29"/>
  <c r="C33" i="29" s="1"/>
  <c r="C34" i="29" s="1"/>
  <c r="C35" i="29" s="1"/>
  <c r="C36" i="29" s="1"/>
  <c r="C37" i="29" s="1"/>
  <c r="C38" i="29" s="1"/>
  <c r="C39" i="29" s="1"/>
  <c r="C40" i="29" s="1"/>
  <c r="C41" i="29" s="1"/>
  <c r="C42" i="29" s="1"/>
  <c r="C43" i="29" s="1"/>
  <c r="C44" i="29" s="1"/>
  <c r="C45" i="29" s="1"/>
  <c r="D13" i="39"/>
  <c r="D13" i="26"/>
  <c r="I14" i="21"/>
  <c r="I14" i="29"/>
  <c r="D13" i="13"/>
  <c r="C73" i="13" s="1"/>
  <c r="D13" i="4"/>
  <c r="I14" i="4" s="1"/>
  <c r="D13" i="22"/>
  <c r="D13" i="31"/>
  <c r="D13" i="3"/>
  <c r="H107" i="21"/>
  <c r="G107" i="21"/>
  <c r="E101" i="39"/>
  <c r="H100" i="39"/>
  <c r="G106" i="27"/>
  <c r="I106" i="27" s="1"/>
  <c r="H106" i="27"/>
  <c r="G100" i="39"/>
  <c r="D101" i="39"/>
  <c r="L100" i="38"/>
  <c r="M100" i="38" s="1"/>
  <c r="N100" i="38"/>
  <c r="O100" i="38" s="1"/>
  <c r="P100" i="38" s="1"/>
  <c r="E20" i="37"/>
  <c r="I14" i="19"/>
  <c r="I14" i="35"/>
  <c r="I14" i="18"/>
  <c r="E32" i="1"/>
  <c r="E33" i="1" s="1"/>
  <c r="E35" i="1" s="1"/>
  <c r="F52" i="1" s="1"/>
  <c r="F51" i="1"/>
  <c r="I14" i="24"/>
  <c r="C33" i="24"/>
  <c r="C34" i="24" s="1"/>
  <c r="C35" i="24" s="1"/>
  <c r="C36" i="24" s="1"/>
  <c r="C37" i="24" s="1"/>
  <c r="C38" i="24" s="1"/>
  <c r="C39" i="24" s="1"/>
  <c r="C40" i="24" s="1"/>
  <c r="C41" i="24" s="1"/>
  <c r="C42" i="24" s="1"/>
  <c r="C43" i="24" s="1"/>
  <c r="C44" i="24" s="1"/>
  <c r="C45" i="24" s="1"/>
  <c r="C33" i="27"/>
  <c r="C34" i="27" s="1"/>
  <c r="C35" i="27" s="1"/>
  <c r="C36" i="27" s="1"/>
  <c r="C37" i="27" s="1"/>
  <c r="C38" i="27" s="1"/>
  <c r="C39" i="27" s="1"/>
  <c r="C40" i="27" s="1"/>
  <c r="C41" i="27" s="1"/>
  <c r="C42" i="27" s="1"/>
  <c r="C43" i="27" s="1"/>
  <c r="C44" i="27" s="1"/>
  <c r="C45" i="27" s="1"/>
  <c r="N5" i="27" s="1"/>
  <c r="I14" i="23"/>
  <c r="G100" i="13"/>
  <c r="D101" i="13"/>
  <c r="I18" i="20"/>
  <c r="B20" i="20"/>
  <c r="H19" i="20"/>
  <c r="G19" i="20"/>
  <c r="E20" i="20"/>
  <c r="F20" i="20" s="1"/>
  <c r="H20" i="20" s="1"/>
  <c r="E106" i="23"/>
  <c r="B19" i="13"/>
  <c r="H17" i="13"/>
  <c r="I17" i="13" s="1"/>
  <c r="H18" i="13"/>
  <c r="E19" i="13"/>
  <c r="F19" i="13" s="1"/>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N5" i="29"/>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N6" i="29"/>
  <c r="B21" i="20"/>
  <c r="C46" i="18"/>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C46" i="19"/>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B101" i="20"/>
  <c r="F101" i="20"/>
  <c r="H100" i="20"/>
  <c r="I100" i="20"/>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C73" i="37" l="1"/>
  <c r="C73" i="34"/>
  <c r="I14" i="3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33" i="25"/>
  <c r="C34" i="25" s="1"/>
  <c r="C35" i="25" s="1"/>
  <c r="C36" i="25" s="1"/>
  <c r="C37" i="25" s="1"/>
  <c r="C38" i="25" s="1"/>
  <c r="C39" i="25" s="1"/>
  <c r="C40" i="25" s="1"/>
  <c r="C41" i="25" s="1"/>
  <c r="C33" i="4"/>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I14" i="22"/>
  <c r="C33" i="22"/>
  <c r="C34" i="22" s="1"/>
  <c r="C35" i="22" s="1"/>
  <c r="C36" i="22" s="1"/>
  <c r="C37" i="22" s="1"/>
  <c r="C38" i="22" s="1"/>
  <c r="C39" i="22" s="1"/>
  <c r="C40" i="22" s="1"/>
  <c r="C41" i="22" s="1"/>
  <c r="C42" i="22" s="1"/>
  <c r="C43" i="22" s="1"/>
  <c r="C44" i="22" s="1"/>
  <c r="C45" i="22" s="1"/>
  <c r="I14" i="3"/>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26"/>
  <c r="C33" i="26"/>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C33" i="31"/>
  <c r="C34" i="31" s="1"/>
  <c r="C35" i="31" s="1"/>
  <c r="C36" i="31" s="1"/>
  <c r="C37" i="31" s="1"/>
  <c r="C38" i="31" s="1"/>
  <c r="C39" i="31" s="1"/>
  <c r="C40" i="31" s="1"/>
  <c r="C41" i="31" s="1"/>
  <c r="C42" i="31" s="1"/>
  <c r="C43" i="31" s="1"/>
  <c r="C44" i="31" s="1"/>
  <c r="C45" i="31" s="1"/>
  <c r="I14" i="31"/>
  <c r="I14" i="39"/>
  <c r="C73" i="39"/>
  <c r="J100" i="38"/>
  <c r="B101" i="38"/>
  <c r="B101" i="39"/>
  <c r="F101" i="39"/>
  <c r="H101" i="39" s="1"/>
  <c r="I100" i="39"/>
  <c r="D20" i="37"/>
  <c r="D106" i="23"/>
  <c r="F53" i="1"/>
  <c r="F60" i="1" s="1"/>
  <c r="F63" i="1" s="1"/>
  <c r="F65" i="1" s="1"/>
  <c r="F67" i="1" s="1"/>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J104" i="23"/>
  <c r="N6" i="27"/>
  <c r="N7" i="27" s="1"/>
  <c r="C46" i="24"/>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N5" i="24"/>
  <c r="N6" i="24"/>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101" i="13"/>
  <c r="F101" i="13" s="1"/>
  <c r="B101" i="13"/>
  <c r="H100" i="13"/>
  <c r="I100" i="13"/>
  <c r="I19" i="20"/>
  <c r="G20" i="20"/>
  <c r="I20" i="20" s="1"/>
  <c r="E21" i="20"/>
  <c r="F21" i="20" s="1"/>
  <c r="D20" i="13"/>
  <c r="E20" i="13" s="1"/>
  <c r="F20" i="13" s="1"/>
  <c r="D21" i="13" s="1"/>
  <c r="H19" i="13"/>
  <c r="N6" i="13" s="1"/>
  <c r="G19" i="13"/>
  <c r="N5" i="13" s="1"/>
  <c r="I18" i="13"/>
  <c r="B23" i="23"/>
  <c r="F23" i="28"/>
  <c r="N7" i="21"/>
  <c r="I22" i="23"/>
  <c r="N7" i="29"/>
  <c r="J100" i="20"/>
  <c r="B104" i="25"/>
  <c r="B108" i="19"/>
  <c r="G101" i="20"/>
  <c r="D102" i="20"/>
  <c r="B102" i="20" s="1"/>
  <c r="D102" i="38"/>
  <c r="B105" i="22"/>
  <c r="B109" i="3"/>
  <c r="F23" i="17"/>
  <c r="F31" i="17"/>
  <c r="F29" i="17"/>
  <c r="N7" i="13" l="1"/>
  <c r="N5" i="31"/>
  <c r="N6" i="31"/>
  <c r="N7" i="31" s="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5" i="22"/>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E18" i="39"/>
  <c r="F18" i="39" s="1"/>
  <c r="E19" i="39" s="1"/>
  <c r="F73" i="1"/>
  <c r="F74" i="1" s="1"/>
  <c r="D24" i="28"/>
  <c r="E24" i="28" s="1"/>
  <c r="F106" i="23"/>
  <c r="H106" i="23" s="1"/>
  <c r="E102" i="38"/>
  <c r="F102" i="38" s="1"/>
  <c r="H102" i="38" s="1"/>
  <c r="M89" i="39"/>
  <c r="M90" i="39" s="1"/>
  <c r="L100" i="39"/>
  <c r="M100" i="39" s="1"/>
  <c r="D102" i="39"/>
  <c r="G101" i="39"/>
  <c r="E102" i="39"/>
  <c r="N100" i="39"/>
  <c r="O100" i="39" s="1"/>
  <c r="P100" i="39" s="1"/>
  <c r="J100" i="39"/>
  <c r="N89" i="39"/>
  <c r="D102" i="37"/>
  <c r="F20" i="37"/>
  <c r="H20" i="37" s="1"/>
  <c r="N20" i="37" s="1"/>
  <c r="O20" i="37" s="1"/>
  <c r="J105" i="23"/>
  <c r="N7" i="23"/>
  <c r="N7" i="24"/>
  <c r="D102" i="13"/>
  <c r="G101" i="13"/>
  <c r="J100" i="13"/>
  <c r="I23" i="23"/>
  <c r="E21" i="13"/>
  <c r="F21" i="13" s="1"/>
  <c r="B21" i="13"/>
  <c r="G29" i="17"/>
  <c r="I19" i="13"/>
  <c r="B20" i="13"/>
  <c r="H20" i="13"/>
  <c r="G20" i="13"/>
  <c r="G23" i="17"/>
  <c r="G31" i="17"/>
  <c r="D24" i="27"/>
  <c r="E24" i="27"/>
  <c r="G23" i="28"/>
  <c r="H23" i="28"/>
  <c r="I26" i="3"/>
  <c r="B27" i="3"/>
  <c r="B22" i="20"/>
  <c r="G21" i="20"/>
  <c r="H21" i="20"/>
  <c r="E22" i="20"/>
  <c r="F68" i="1"/>
  <c r="F69" i="1" s="1"/>
  <c r="F54" i="1" s="1"/>
  <c r="F55" i="1" s="1"/>
  <c r="F57" i="1" s="1"/>
  <c r="F76" i="1" s="1"/>
  <c r="F77" i="1" s="1"/>
  <c r="F79" i="1" s="1"/>
  <c r="D24" i="23"/>
  <c r="E24" i="23"/>
  <c r="B108" i="18"/>
  <c r="E102" i="20"/>
  <c r="F102" i="20" s="1"/>
  <c r="G102" i="20" s="1"/>
  <c r="D105" i="25"/>
  <c r="B109" i="4"/>
  <c r="B101" i="37"/>
  <c r="L100" i="37"/>
  <c r="M100" i="37" s="1"/>
  <c r="N100" i="37"/>
  <c r="O100" i="37" s="1"/>
  <c r="B102" i="31"/>
  <c r="B102" i="35"/>
  <c r="B106" i="28"/>
  <c r="B105" i="26"/>
  <c r="I101" i="20"/>
  <c r="H101" i="20"/>
  <c r="D109" i="19"/>
  <c r="E109" i="19"/>
  <c r="B106" i="27"/>
  <c r="J107" i="19"/>
  <c r="B102" i="38"/>
  <c r="B106" i="21"/>
  <c r="B102" i="34"/>
  <c r="B106" i="24"/>
  <c r="J108" i="3"/>
  <c r="D110" i="3"/>
  <c r="E110" i="3"/>
  <c r="D106" i="22"/>
  <c r="E106" i="22"/>
  <c r="J104" i="22"/>
  <c r="F27" i="17"/>
  <c r="I37" i="17"/>
  <c r="F32" i="17"/>
  <c r="F25" i="17"/>
  <c r="G20" i="37" l="1"/>
  <c r="G32" i="17"/>
  <c r="D19" i="39"/>
  <c r="G18" i="39"/>
  <c r="H18" i="39"/>
  <c r="N7" i="22"/>
  <c r="G106" i="23"/>
  <c r="I106" i="23" s="1"/>
  <c r="E107" i="23"/>
  <c r="D107" i="23"/>
  <c r="F107" i="23" s="1"/>
  <c r="H107" i="23" s="1"/>
  <c r="F24" i="28"/>
  <c r="G24" i="28" s="1"/>
  <c r="N5" i="28" s="1"/>
  <c r="V37" i="17"/>
  <c r="I101" i="39"/>
  <c r="J101" i="39" s="1"/>
  <c r="F102" i="39"/>
  <c r="H102" i="39" s="1"/>
  <c r="B102" i="39"/>
  <c r="O89" i="39"/>
  <c r="O90" i="39" s="1"/>
  <c r="N90" i="39"/>
  <c r="E102" i="37"/>
  <c r="F102" i="37" s="1"/>
  <c r="G102" i="37" s="1"/>
  <c r="P100" i="37"/>
  <c r="G25" i="17"/>
  <c r="D103" i="20"/>
  <c r="E103" i="20" s="1"/>
  <c r="G27" i="17"/>
  <c r="D25" i="24"/>
  <c r="E25" i="24"/>
  <c r="B24" i="24"/>
  <c r="I23" i="24"/>
  <c r="E105" i="25"/>
  <c r="F105" i="25" s="1"/>
  <c r="H105" i="25" s="1"/>
  <c r="I101" i="13"/>
  <c r="H101" i="13"/>
  <c r="E102" i="13"/>
  <c r="F102" i="13" s="1"/>
  <c r="B102" i="13"/>
  <c r="H21" i="13"/>
  <c r="D22" i="13"/>
  <c r="E22" i="13" s="1"/>
  <c r="F22" i="13" s="1"/>
  <c r="G21" i="13"/>
  <c r="I20" i="13"/>
  <c r="B20" i="35"/>
  <c r="B19" i="37"/>
  <c r="I25" i="19"/>
  <c r="D28" i="3"/>
  <c r="E28" i="3"/>
  <c r="B24" i="21"/>
  <c r="I19" i="31"/>
  <c r="I23" i="27"/>
  <c r="C42" i="25"/>
  <c r="C43" i="25" s="1"/>
  <c r="C44" i="25" s="1"/>
  <c r="C45" i="25" s="1"/>
  <c r="B22" i="25"/>
  <c r="I22" i="26"/>
  <c r="I22" i="22"/>
  <c r="B26" i="19"/>
  <c r="N5" i="19"/>
  <c r="F22" i="20"/>
  <c r="B18" i="38"/>
  <c r="B27" i="4"/>
  <c r="I23" i="28"/>
  <c r="B24" i="27"/>
  <c r="F24" i="27"/>
  <c r="B26" i="18"/>
  <c r="N6" i="18"/>
  <c r="I23" i="21"/>
  <c r="B23" i="22"/>
  <c r="I21" i="20"/>
  <c r="I26" i="4"/>
  <c r="B23" i="26"/>
  <c r="B20" i="34"/>
  <c r="B24" i="23"/>
  <c r="F24" i="23"/>
  <c r="H24" i="23" s="1"/>
  <c r="I17" i="38"/>
  <c r="B24" i="28"/>
  <c r="I20" i="29"/>
  <c r="I19" i="34"/>
  <c r="I19" i="35"/>
  <c r="B20" i="31"/>
  <c r="I18" i="37"/>
  <c r="I21" i="25"/>
  <c r="I25" i="18"/>
  <c r="D110" i="4"/>
  <c r="E110" i="4"/>
  <c r="J108" i="4"/>
  <c r="E109" i="18"/>
  <c r="D109" i="18"/>
  <c r="J107" i="18"/>
  <c r="J101" i="35"/>
  <c r="J100" i="37"/>
  <c r="J103" i="25"/>
  <c r="D106" i="26"/>
  <c r="E106" i="26"/>
  <c r="J104" i="26"/>
  <c r="J105" i="28"/>
  <c r="E103" i="35"/>
  <c r="D103" i="35"/>
  <c r="D103" i="31"/>
  <c r="E103" i="31"/>
  <c r="B105" i="25"/>
  <c r="J105" i="27"/>
  <c r="D103" i="34"/>
  <c r="E103" i="34"/>
  <c r="D104" i="29"/>
  <c r="E104" i="29"/>
  <c r="J105" i="21"/>
  <c r="J102" i="29"/>
  <c r="D107" i="27"/>
  <c r="E107" i="27"/>
  <c r="J101" i="20"/>
  <c r="J105" i="24"/>
  <c r="D107" i="24"/>
  <c r="E107" i="24"/>
  <c r="J101" i="38"/>
  <c r="G102" i="38"/>
  <c r="D103" i="38"/>
  <c r="J101" i="34"/>
  <c r="F109" i="19"/>
  <c r="H109" i="19" s="1"/>
  <c r="B109" i="19"/>
  <c r="B110" i="3"/>
  <c r="F110" i="3"/>
  <c r="H110" i="3" s="1"/>
  <c r="B106" i="22"/>
  <c r="F106" i="22"/>
  <c r="H106" i="22" s="1"/>
  <c r="H102" i="20"/>
  <c r="I102" i="20"/>
  <c r="B103" i="20"/>
  <c r="F24" i="17"/>
  <c r="I18" i="39" l="1"/>
  <c r="G24" i="17"/>
  <c r="F19" i="39"/>
  <c r="G19" i="39" s="1"/>
  <c r="B19" i="39"/>
  <c r="K20" i="35"/>
  <c r="L20" i="35" s="1"/>
  <c r="N5" i="35"/>
  <c r="H24" i="28"/>
  <c r="N6" i="28" s="1"/>
  <c r="N7" i="28" s="1"/>
  <c r="D25" i="28"/>
  <c r="K20" i="34"/>
  <c r="L20" i="34" s="1"/>
  <c r="N5" i="34"/>
  <c r="K23" i="26"/>
  <c r="L23" i="26" s="1"/>
  <c r="N5" i="26"/>
  <c r="M27" i="4"/>
  <c r="N27" i="4" s="1"/>
  <c r="N6" i="4"/>
  <c r="M27" i="3"/>
  <c r="N27" i="3" s="1"/>
  <c r="N6" i="3"/>
  <c r="K27" i="3"/>
  <c r="L27" i="3" s="1"/>
  <c r="N5" i="3"/>
  <c r="H102" i="37"/>
  <c r="D103" i="39"/>
  <c r="G102" i="39"/>
  <c r="E103" i="39"/>
  <c r="F103" i="20"/>
  <c r="D104" i="20" s="1"/>
  <c r="I102" i="37"/>
  <c r="I24" i="24"/>
  <c r="B22" i="13"/>
  <c r="I21" i="13"/>
  <c r="F25" i="24"/>
  <c r="H25" i="24" s="1"/>
  <c r="B25" i="24"/>
  <c r="J104" i="25"/>
  <c r="G102" i="13"/>
  <c r="D103" i="13"/>
  <c r="B103" i="13" s="1"/>
  <c r="J101" i="13"/>
  <c r="I23" i="22"/>
  <c r="I20" i="31"/>
  <c r="I24" i="21"/>
  <c r="I19" i="37"/>
  <c r="G24" i="23"/>
  <c r="I24" i="23" s="1"/>
  <c r="D23" i="13"/>
  <c r="E23" i="13" s="1"/>
  <c r="G22" i="13"/>
  <c r="H22" i="13"/>
  <c r="D21" i="31"/>
  <c r="E21" i="31"/>
  <c r="D21" i="35"/>
  <c r="E21" i="35"/>
  <c r="D23" i="25"/>
  <c r="E23" i="25"/>
  <c r="D25" i="23"/>
  <c r="E25" i="23"/>
  <c r="I27" i="3"/>
  <c r="D25" i="27"/>
  <c r="E25" i="27"/>
  <c r="D22" i="29"/>
  <c r="E22" i="29"/>
  <c r="D24" i="26"/>
  <c r="E24" i="26"/>
  <c r="G22" i="20"/>
  <c r="H22" i="20"/>
  <c r="E23" i="20"/>
  <c r="B23" i="20"/>
  <c r="B28" i="3"/>
  <c r="F28" i="3"/>
  <c r="G28" i="3" s="1"/>
  <c r="G24" i="27"/>
  <c r="I21" i="29"/>
  <c r="D27" i="18"/>
  <c r="E27" i="18"/>
  <c r="H24" i="27"/>
  <c r="N24" i="27" s="1"/>
  <c r="O24" i="27" s="1"/>
  <c r="D28" i="4"/>
  <c r="E28" i="4"/>
  <c r="D25" i="21"/>
  <c r="E25" i="21"/>
  <c r="D21" i="34"/>
  <c r="E21" i="34"/>
  <c r="D24" i="22"/>
  <c r="E24" i="22"/>
  <c r="D27" i="19"/>
  <c r="E27" i="19"/>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B110" i="4"/>
  <c r="F110" i="4"/>
  <c r="H110" i="4" s="1"/>
  <c r="F109" i="18"/>
  <c r="H109" i="18" s="1"/>
  <c r="B109" i="18"/>
  <c r="F104" i="29"/>
  <c r="D105" i="29" s="1"/>
  <c r="F103" i="35"/>
  <c r="H103" i="35" s="1"/>
  <c r="B103" i="35"/>
  <c r="B107" i="28"/>
  <c r="D106" i="25"/>
  <c r="E106" i="25"/>
  <c r="G105" i="25"/>
  <c r="P101" i="37"/>
  <c r="B106" i="26"/>
  <c r="F106" i="26"/>
  <c r="H106" i="26" s="1"/>
  <c r="B102" i="37"/>
  <c r="F103" i="31"/>
  <c r="H103" i="31" s="1"/>
  <c r="B103" i="31"/>
  <c r="B103" i="34"/>
  <c r="F103" i="34"/>
  <c r="H103" i="34" s="1"/>
  <c r="F107" i="27"/>
  <c r="H107" i="27" s="1"/>
  <c r="B107" i="27"/>
  <c r="I102" i="38"/>
  <c r="B103" i="38"/>
  <c r="B107" i="21"/>
  <c r="F107" i="24"/>
  <c r="H107" i="24" s="1"/>
  <c r="B107" i="24"/>
  <c r="D110" i="19"/>
  <c r="G109" i="19"/>
  <c r="E110" i="19"/>
  <c r="E103" i="38"/>
  <c r="F103" i="38" s="1"/>
  <c r="H103" i="38" s="1"/>
  <c r="J108" i="19"/>
  <c r="J105" i="22"/>
  <c r="J109" i="3"/>
  <c r="J102" i="20"/>
  <c r="J106" i="23"/>
  <c r="G106" i="22"/>
  <c r="D107" i="22"/>
  <c r="E107" i="22"/>
  <c r="G103" i="20"/>
  <c r="G107" i="23"/>
  <c r="D108" i="23"/>
  <c r="E108" i="23"/>
  <c r="G110" i="3"/>
  <c r="D111" i="3"/>
  <c r="E111" i="3"/>
  <c r="F30" i="17"/>
  <c r="D20" i="39" l="1"/>
  <c r="E20" i="39"/>
  <c r="H19" i="39"/>
  <c r="I19" i="39" s="1"/>
  <c r="I24" i="28"/>
  <c r="I20" i="35"/>
  <c r="M20" i="35"/>
  <c r="N20" i="35" s="1"/>
  <c r="O20" i="35" s="1"/>
  <c r="N6" i="35"/>
  <c r="N7" i="35" s="1"/>
  <c r="G30" i="17"/>
  <c r="E25" i="28"/>
  <c r="F25" i="28" s="1"/>
  <c r="I20" i="34"/>
  <c r="M20" i="34"/>
  <c r="N20" i="34" s="1"/>
  <c r="O20" i="34" s="1"/>
  <c r="N6" i="34"/>
  <c r="N7" i="34" s="1"/>
  <c r="M23" i="26"/>
  <c r="N23" i="26" s="1"/>
  <c r="O23" i="26" s="1"/>
  <c r="N6" i="26"/>
  <c r="N7" i="26" s="1"/>
  <c r="I26" i="19"/>
  <c r="N6" i="19"/>
  <c r="N7" i="19" s="1"/>
  <c r="I26" i="18"/>
  <c r="N5" i="18"/>
  <c r="N7" i="18" s="1"/>
  <c r="I27" i="4"/>
  <c r="K27" i="4"/>
  <c r="L27" i="4" s="1"/>
  <c r="O27" i="4" s="1"/>
  <c r="N5" i="4"/>
  <c r="N7" i="4" s="1"/>
  <c r="N7" i="3"/>
  <c r="O27" i="3"/>
  <c r="H104" i="29"/>
  <c r="I102" i="39"/>
  <c r="J102" i="39" s="1"/>
  <c r="B103" i="39"/>
  <c r="F103" i="39"/>
  <c r="H103" i="39" s="1"/>
  <c r="I18" i="38"/>
  <c r="E103" i="13"/>
  <c r="F103" i="13" s="1"/>
  <c r="D104" i="13" s="1"/>
  <c r="G25" i="24"/>
  <c r="I25" i="24" s="1"/>
  <c r="E26" i="24"/>
  <c r="D26" i="24"/>
  <c r="J101" i="37"/>
  <c r="H102" i="13"/>
  <c r="I102" i="13"/>
  <c r="N7" i="25"/>
  <c r="I23" i="26"/>
  <c r="B21" i="34"/>
  <c r="F21" i="34"/>
  <c r="H21" i="34" s="1"/>
  <c r="B20" i="37"/>
  <c r="B27" i="18"/>
  <c r="F27" i="18"/>
  <c r="G27" i="18" s="1"/>
  <c r="J108" i="18"/>
  <c r="B27" i="19"/>
  <c r="F27" i="19"/>
  <c r="H27" i="19" s="1"/>
  <c r="F23" i="20"/>
  <c r="B24" i="26"/>
  <c r="F24" i="26"/>
  <c r="H24" i="26" s="1"/>
  <c r="J109" i="4"/>
  <c r="B25" i="21"/>
  <c r="F25" i="21"/>
  <c r="H25" i="21" s="1"/>
  <c r="I22" i="20"/>
  <c r="I22" i="13"/>
  <c r="B24" i="22"/>
  <c r="F24" i="22"/>
  <c r="G24" i="22" s="1"/>
  <c r="B28" i="4"/>
  <c r="F28" i="4"/>
  <c r="H28" i="4" s="1"/>
  <c r="B25" i="23"/>
  <c r="F25" i="23"/>
  <c r="H25" i="23" s="1"/>
  <c r="I24" i="27"/>
  <c r="B19" i="38"/>
  <c r="N6" i="38"/>
  <c r="I22" i="25"/>
  <c r="D29" i="3"/>
  <c r="E29" i="3"/>
  <c r="F23" i="25"/>
  <c r="H23" i="25" s="1"/>
  <c r="B23" i="25"/>
  <c r="H28" i="3"/>
  <c r="B25" i="27"/>
  <c r="F25" i="27"/>
  <c r="H25" i="27" s="1"/>
  <c r="B21" i="31"/>
  <c r="F21" i="31"/>
  <c r="G21" i="31" s="1"/>
  <c r="F23" i="13"/>
  <c r="H23" i="13" s="1"/>
  <c r="B23" i="13"/>
  <c r="F22" i="29"/>
  <c r="G22" i="29" s="1"/>
  <c r="B25" i="28"/>
  <c r="B21" i="35"/>
  <c r="F21" i="35"/>
  <c r="H21" i="35" s="1"/>
  <c r="E111" i="4"/>
  <c r="G110" i="4"/>
  <c r="D111" i="4"/>
  <c r="G109" i="18"/>
  <c r="E110" i="18"/>
  <c r="D110" i="18"/>
  <c r="G103" i="31"/>
  <c r="D104" i="31"/>
  <c r="E104" i="31"/>
  <c r="E103" i="37"/>
  <c r="D103" i="37"/>
  <c r="J102" i="31"/>
  <c r="J105" i="26"/>
  <c r="E105" i="29"/>
  <c r="F105" i="29" s="1"/>
  <c r="H105" i="29" s="1"/>
  <c r="G104" i="29"/>
  <c r="I104" i="29" s="1"/>
  <c r="E107" i="26"/>
  <c r="G106" i="26"/>
  <c r="D107" i="26"/>
  <c r="B106" i="25"/>
  <c r="F106" i="25"/>
  <c r="H106" i="25" s="1"/>
  <c r="I105" i="25"/>
  <c r="G103" i="35"/>
  <c r="D104" i="35"/>
  <c r="E104" i="35"/>
  <c r="J106" i="28"/>
  <c r="J102" i="35"/>
  <c r="D108" i="21"/>
  <c r="E108" i="21"/>
  <c r="J102" i="38"/>
  <c r="J106" i="27"/>
  <c r="F108" i="23"/>
  <c r="G108" i="23" s="1"/>
  <c r="J106" i="24"/>
  <c r="I109" i="19"/>
  <c r="J102" i="34"/>
  <c r="B110" i="19"/>
  <c r="F110" i="19"/>
  <c r="H110" i="19" s="1"/>
  <c r="D108" i="24"/>
  <c r="G107" i="24"/>
  <c r="E108" i="24"/>
  <c r="J106" i="21"/>
  <c r="G103" i="34"/>
  <c r="D104" i="34"/>
  <c r="E104" i="34"/>
  <c r="D104" i="38"/>
  <c r="G103" i="38"/>
  <c r="G107" i="27"/>
  <c r="D108" i="27"/>
  <c r="E108" i="27"/>
  <c r="J103" i="29"/>
  <c r="H103" i="20"/>
  <c r="I103" i="20"/>
  <c r="B104" i="20"/>
  <c r="E104" i="20"/>
  <c r="F104" i="20" s="1"/>
  <c r="B111" i="3"/>
  <c r="F111" i="3"/>
  <c r="H111" i="3" s="1"/>
  <c r="F107" i="22"/>
  <c r="H107" i="22" s="1"/>
  <c r="B107" i="22"/>
  <c r="I110" i="3"/>
  <c r="I107" i="23"/>
  <c r="I106" i="22"/>
  <c r="F18" i="17"/>
  <c r="F19" i="17"/>
  <c r="F21" i="17"/>
  <c r="F34" i="17"/>
  <c r="F26" i="17"/>
  <c r="F33" i="17"/>
  <c r="F28" i="17"/>
  <c r="F20" i="17"/>
  <c r="F20" i="39" l="1"/>
  <c r="B20" i="39"/>
  <c r="G20" i="39"/>
  <c r="H20" i="39"/>
  <c r="I20" i="39" s="1"/>
  <c r="G34" i="17"/>
  <c r="D26" i="28"/>
  <c r="E26" i="28"/>
  <c r="F26" i="28" s="1"/>
  <c r="H25" i="28"/>
  <c r="I25" i="28" s="1"/>
  <c r="G25" i="28"/>
  <c r="G33" i="17"/>
  <c r="G28" i="17"/>
  <c r="G21" i="17"/>
  <c r="G20" i="17"/>
  <c r="G19" i="17"/>
  <c r="G18" i="17"/>
  <c r="G103" i="13"/>
  <c r="I103" i="13" s="1"/>
  <c r="H108" i="23"/>
  <c r="E104" i="38"/>
  <c r="F104" i="38" s="1"/>
  <c r="H104" i="38" s="1"/>
  <c r="D104" i="39"/>
  <c r="G103" i="39"/>
  <c r="E104" i="39"/>
  <c r="G21" i="34"/>
  <c r="I21" i="34" s="1"/>
  <c r="F26" i="24"/>
  <c r="H26" i="24" s="1"/>
  <c r="B26" i="24"/>
  <c r="B104" i="13"/>
  <c r="J102" i="13"/>
  <c r="E104" i="13"/>
  <c r="F104" i="13" s="1"/>
  <c r="G23" i="25"/>
  <c r="I23" i="25" s="1"/>
  <c r="G26" i="17"/>
  <c r="G21" i="35"/>
  <c r="I21" i="35" s="1"/>
  <c r="G28" i="4"/>
  <c r="I28" i="4" s="1"/>
  <c r="H24" i="22"/>
  <c r="I24" i="22" s="1"/>
  <c r="H22" i="29"/>
  <c r="I22" i="29" s="1"/>
  <c r="H21" i="31"/>
  <c r="I21" i="31" s="1"/>
  <c r="E109" i="23"/>
  <c r="D109" i="23"/>
  <c r="G25" i="23"/>
  <c r="I25" i="23" s="1"/>
  <c r="G24" i="26"/>
  <c r="I24" i="26" s="1"/>
  <c r="G25" i="27"/>
  <c r="I25" i="27" s="1"/>
  <c r="H23" i="20"/>
  <c r="G23" i="20"/>
  <c r="E24" i="20"/>
  <c r="B24" i="20"/>
  <c r="D22" i="35"/>
  <c r="E22" i="35"/>
  <c r="D23" i="29"/>
  <c r="E23" i="29"/>
  <c r="G23" i="13"/>
  <c r="I23" i="13" s="1"/>
  <c r="F29" i="3"/>
  <c r="G29" i="3" s="1"/>
  <c r="B29" i="3"/>
  <c r="D29" i="4"/>
  <c r="E29" i="4"/>
  <c r="D26" i="27"/>
  <c r="E26" i="27"/>
  <c r="D25" i="22"/>
  <c r="E25" i="22"/>
  <c r="D28" i="19"/>
  <c r="E28" i="19"/>
  <c r="D28" i="18"/>
  <c r="E28" i="18"/>
  <c r="D21" i="37"/>
  <c r="E21" i="37"/>
  <c r="G25" i="21"/>
  <c r="D25" i="26"/>
  <c r="E25" i="26"/>
  <c r="G27" i="19"/>
  <c r="H27" i="18"/>
  <c r="D22" i="34"/>
  <c r="E22" i="34"/>
  <c r="D24" i="13"/>
  <c r="E24" i="13" s="1"/>
  <c r="D26" i="21"/>
  <c r="E26" i="21"/>
  <c r="D22" i="31"/>
  <c r="E22" i="31"/>
  <c r="I28" i="3"/>
  <c r="D24" i="25"/>
  <c r="E24" i="25"/>
  <c r="D20" i="38"/>
  <c r="E20" i="38"/>
  <c r="E26" i="23"/>
  <c r="D26" i="23"/>
  <c r="I109" i="18"/>
  <c r="F111" i="4"/>
  <c r="H111" i="4" s="1"/>
  <c r="B111" i="4"/>
  <c r="F110" i="18"/>
  <c r="H110" i="18" s="1"/>
  <c r="B110" i="18"/>
  <c r="I110" i="4"/>
  <c r="G106" i="25"/>
  <c r="D107" i="25"/>
  <c r="E107" i="25"/>
  <c r="B108" i="28"/>
  <c r="B104" i="31"/>
  <c r="F104" i="31"/>
  <c r="H104" i="31" s="1"/>
  <c r="I103" i="31"/>
  <c r="B107" i="26"/>
  <c r="F107" i="26"/>
  <c r="H107" i="26" s="1"/>
  <c r="I106" i="26"/>
  <c r="B104" i="35"/>
  <c r="F104" i="35"/>
  <c r="H104" i="35" s="1"/>
  <c r="B103" i="37"/>
  <c r="F103" i="37"/>
  <c r="H103" i="37" s="1"/>
  <c r="I103" i="35"/>
  <c r="J105" i="25"/>
  <c r="I107" i="21"/>
  <c r="F104" i="34"/>
  <c r="H104" i="34" s="1"/>
  <c r="B104" i="34"/>
  <c r="F108" i="27"/>
  <c r="H108" i="27" s="1"/>
  <c r="B108" i="27"/>
  <c r="I103" i="34"/>
  <c r="G105" i="29"/>
  <c r="D106" i="29"/>
  <c r="E106" i="29"/>
  <c r="I107" i="27"/>
  <c r="I107" i="24"/>
  <c r="I103" i="38"/>
  <c r="B108" i="24"/>
  <c r="F108" i="24"/>
  <c r="H108" i="24" s="1"/>
  <c r="J109" i="19"/>
  <c r="B104" i="38"/>
  <c r="D111" i="19"/>
  <c r="G110" i="19"/>
  <c r="E111" i="19"/>
  <c r="J104" i="29"/>
  <c r="B108" i="21"/>
  <c r="F108" i="21"/>
  <c r="H108" i="21" s="1"/>
  <c r="D105" i="20"/>
  <c r="G104" i="20"/>
  <c r="I108" i="23"/>
  <c r="J103" i="20"/>
  <c r="J106" i="22"/>
  <c r="J110" i="3"/>
  <c r="J107" i="23"/>
  <c r="D108" i="22"/>
  <c r="G107" i="22"/>
  <c r="E108" i="22"/>
  <c r="D112" i="3"/>
  <c r="E112" i="3"/>
  <c r="G111" i="3"/>
  <c r="D21" i="39" l="1"/>
  <c r="E21" i="39"/>
  <c r="H103" i="13"/>
  <c r="J103" i="13" s="1"/>
  <c r="I19" i="38"/>
  <c r="N5" i="38"/>
  <c r="N7" i="38" s="1"/>
  <c r="G26" i="28"/>
  <c r="D27" i="28"/>
  <c r="E27" i="28" s="1"/>
  <c r="F27" i="28" s="1"/>
  <c r="H26" i="28"/>
  <c r="I103" i="39"/>
  <c r="F104" i="39"/>
  <c r="H104" i="39" s="1"/>
  <c r="B104" i="39"/>
  <c r="G26" i="24"/>
  <c r="I26" i="24" s="1"/>
  <c r="E27" i="24"/>
  <c r="D27" i="24"/>
  <c r="F109" i="23"/>
  <c r="E110" i="23" s="1"/>
  <c r="G104" i="13"/>
  <c r="D105" i="13"/>
  <c r="B22" i="31"/>
  <c r="F22" i="31"/>
  <c r="H22" i="31" s="1"/>
  <c r="I27" i="18"/>
  <c r="B28" i="18"/>
  <c r="F28" i="18"/>
  <c r="D30" i="3"/>
  <c r="E30" i="3"/>
  <c r="F24" i="20"/>
  <c r="F26" i="27"/>
  <c r="G26" i="27" s="1"/>
  <c r="B26" i="27"/>
  <c r="B26" i="28"/>
  <c r="F25" i="26"/>
  <c r="G25" i="26" s="1"/>
  <c r="B25" i="26"/>
  <c r="B28" i="19"/>
  <c r="F28" i="19"/>
  <c r="G28" i="19" s="1"/>
  <c r="I23" i="20"/>
  <c r="B22" i="34"/>
  <c r="F22" i="34"/>
  <c r="I20" i="37"/>
  <c r="F24" i="25"/>
  <c r="G24" i="25" s="1"/>
  <c r="B24" i="25"/>
  <c r="B26" i="21"/>
  <c r="F26" i="21"/>
  <c r="G26" i="21" s="1"/>
  <c r="F23" i="29"/>
  <c r="G23" i="29" s="1"/>
  <c r="F26" i="23"/>
  <c r="H26" i="23" s="1"/>
  <c r="B26" i="23"/>
  <c r="B20" i="38"/>
  <c r="F20" i="38"/>
  <c r="G20" i="38" s="1"/>
  <c r="I27" i="19"/>
  <c r="F24" i="13"/>
  <c r="H24" i="13" s="1"/>
  <c r="B24" i="13"/>
  <c r="B29" i="4"/>
  <c r="F29" i="4"/>
  <c r="G29" i="4" s="1"/>
  <c r="I25" i="21"/>
  <c r="F21" i="37"/>
  <c r="B21" i="37"/>
  <c r="F25" i="22"/>
  <c r="G25" i="22" s="1"/>
  <c r="B25" i="22"/>
  <c r="H29" i="3"/>
  <c r="B22" i="35"/>
  <c r="F22" i="35"/>
  <c r="G22" i="35" s="1"/>
  <c r="J108" i="23"/>
  <c r="J107" i="28"/>
  <c r="D111" i="18"/>
  <c r="E111" i="18"/>
  <c r="G110" i="18"/>
  <c r="E112" i="4"/>
  <c r="D112" i="4"/>
  <c r="G111" i="4"/>
  <c r="J110" i="4"/>
  <c r="J109" i="18"/>
  <c r="E105" i="35"/>
  <c r="D105" i="35"/>
  <c r="G104" i="35"/>
  <c r="I106" i="25"/>
  <c r="J102" i="37"/>
  <c r="J103" i="31"/>
  <c r="E105" i="31"/>
  <c r="D105" i="31"/>
  <c r="G104" i="31"/>
  <c r="J106" i="26"/>
  <c r="J103" i="35"/>
  <c r="G103" i="37"/>
  <c r="D104" i="37"/>
  <c r="E104" i="37"/>
  <c r="E108" i="26"/>
  <c r="G107" i="26"/>
  <c r="D108" i="26"/>
  <c r="B107" i="25"/>
  <c r="F107" i="25"/>
  <c r="H107" i="25" s="1"/>
  <c r="F106" i="29"/>
  <c r="E107" i="29" s="1"/>
  <c r="D109" i="21"/>
  <c r="G108" i="21"/>
  <c r="E109" i="21"/>
  <c r="D105" i="38"/>
  <c r="G104" i="38"/>
  <c r="G104" i="34"/>
  <c r="D105" i="34"/>
  <c r="E105" i="34"/>
  <c r="J107" i="27"/>
  <c r="D109" i="24"/>
  <c r="G108" i="24"/>
  <c r="E109" i="24"/>
  <c r="J103" i="34"/>
  <c r="J103" i="38"/>
  <c r="I105" i="29"/>
  <c r="G108" i="27"/>
  <c r="D109" i="27"/>
  <c r="E109" i="27"/>
  <c r="B111" i="19"/>
  <c r="F111" i="19"/>
  <c r="H111" i="19" s="1"/>
  <c r="I110" i="19"/>
  <c r="J107" i="24"/>
  <c r="J107" i="21"/>
  <c r="B108" i="22"/>
  <c r="F108" i="22"/>
  <c r="H108" i="22" s="1"/>
  <c r="H104" i="20"/>
  <c r="I104" i="20"/>
  <c r="I111" i="3"/>
  <c r="F112" i="3"/>
  <c r="H112" i="3" s="1"/>
  <c r="B112" i="3"/>
  <c r="B105" i="20"/>
  <c r="I107" i="22"/>
  <c r="E105" i="20"/>
  <c r="F105" i="20" s="1"/>
  <c r="F35" i="17"/>
  <c r="F21" i="39" l="1"/>
  <c r="B21" i="39"/>
  <c r="G21" i="39"/>
  <c r="H21" i="39"/>
  <c r="I21" i="39" s="1"/>
  <c r="H109" i="23"/>
  <c r="G35" i="17"/>
  <c r="D28" i="28"/>
  <c r="E28" i="28" s="1"/>
  <c r="F28" i="28" s="1"/>
  <c r="H27" i="28"/>
  <c r="G27" i="28"/>
  <c r="E105" i="38"/>
  <c r="F105" i="38" s="1"/>
  <c r="H105" i="38" s="1"/>
  <c r="H106" i="29"/>
  <c r="G104" i="39"/>
  <c r="D105" i="39"/>
  <c r="E105" i="39"/>
  <c r="J103" i="39"/>
  <c r="D110" i="23"/>
  <c r="G109" i="23"/>
  <c r="I109" i="23" s="1"/>
  <c r="B27" i="24"/>
  <c r="F27" i="24"/>
  <c r="H27" i="24" s="1"/>
  <c r="J106" i="25"/>
  <c r="E105" i="13"/>
  <c r="F105" i="13" s="1"/>
  <c r="B105" i="13"/>
  <c r="I104" i="13"/>
  <c r="H104" i="13"/>
  <c r="H25" i="22"/>
  <c r="I25" i="22" s="1"/>
  <c r="H22" i="35"/>
  <c r="I22" i="35" s="1"/>
  <c r="G22" i="31"/>
  <c r="I22" i="31" s="1"/>
  <c r="G26" i="23"/>
  <c r="I26" i="23" s="1"/>
  <c r="H26" i="21"/>
  <c r="I26" i="21" s="1"/>
  <c r="G24" i="13"/>
  <c r="I24" i="13" s="1"/>
  <c r="H23" i="29"/>
  <c r="I23" i="29" s="1"/>
  <c r="H26" i="27"/>
  <c r="I26" i="27" s="1"/>
  <c r="D22" i="37"/>
  <c r="E22" i="37"/>
  <c r="D29" i="18"/>
  <c r="E29" i="18"/>
  <c r="I29" i="3"/>
  <c r="H21" i="37"/>
  <c r="D26" i="26"/>
  <c r="E26" i="26"/>
  <c r="H25" i="26"/>
  <c r="H24" i="20"/>
  <c r="B25" i="20"/>
  <c r="E25" i="20"/>
  <c r="F25" i="20" s="1"/>
  <c r="G24" i="20"/>
  <c r="D26" i="22"/>
  <c r="E26" i="22"/>
  <c r="D25" i="13"/>
  <c r="D23" i="31"/>
  <c r="E23" i="31"/>
  <c r="D30" i="4"/>
  <c r="E30" i="4"/>
  <c r="D27" i="23"/>
  <c r="E27" i="23"/>
  <c r="D27" i="21"/>
  <c r="E27" i="21"/>
  <c r="D23" i="34"/>
  <c r="E23" i="34"/>
  <c r="D29" i="19"/>
  <c r="E29" i="19"/>
  <c r="B30" i="3"/>
  <c r="F30" i="3"/>
  <c r="H30" i="3" s="1"/>
  <c r="D23" i="35"/>
  <c r="E23" i="35"/>
  <c r="G21" i="37"/>
  <c r="H29" i="4"/>
  <c r="D21" i="38"/>
  <c r="E21" i="38"/>
  <c r="G22" i="34"/>
  <c r="D27" i="27"/>
  <c r="E27" i="27"/>
  <c r="G28" i="18"/>
  <c r="D25" i="25"/>
  <c r="E25" i="25"/>
  <c r="H20" i="38"/>
  <c r="D24" i="29"/>
  <c r="E24" i="29"/>
  <c r="H24" i="25"/>
  <c r="H22" i="34"/>
  <c r="H28" i="19"/>
  <c r="H28" i="18"/>
  <c r="I110" i="18"/>
  <c r="F112" i="4"/>
  <c r="H112" i="4" s="1"/>
  <c r="B112" i="4"/>
  <c r="I111" i="4"/>
  <c r="B111" i="18"/>
  <c r="F111" i="18"/>
  <c r="H111" i="18" s="1"/>
  <c r="G107" i="25"/>
  <c r="D108" i="25"/>
  <c r="E108" i="25"/>
  <c r="F108" i="26"/>
  <c r="H108" i="26" s="1"/>
  <c r="B108" i="26"/>
  <c r="B109" i="28"/>
  <c r="I107" i="26"/>
  <c r="I104" i="35"/>
  <c r="B104" i="37"/>
  <c r="F104" i="37"/>
  <c r="H104" i="37" s="1"/>
  <c r="I104" i="31"/>
  <c r="B105" i="35"/>
  <c r="F105" i="35"/>
  <c r="H105" i="35" s="1"/>
  <c r="I103" i="37"/>
  <c r="F105" i="31"/>
  <c r="H105" i="31" s="1"/>
  <c r="B105" i="31"/>
  <c r="G106" i="29"/>
  <c r="I106" i="29" s="1"/>
  <c r="D107" i="29"/>
  <c r="F109" i="24"/>
  <c r="H109" i="24" s="1"/>
  <c r="B109" i="24"/>
  <c r="B105" i="38"/>
  <c r="I104" i="34"/>
  <c r="J110" i="19"/>
  <c r="I108" i="24"/>
  <c r="D112" i="19"/>
  <c r="G111" i="19"/>
  <c r="E112" i="19"/>
  <c r="F109" i="27"/>
  <c r="H109" i="27" s="1"/>
  <c r="B109" i="27"/>
  <c r="I108" i="21"/>
  <c r="I104" i="38"/>
  <c r="I108" i="27"/>
  <c r="F109" i="21"/>
  <c r="H109" i="21" s="1"/>
  <c r="B109" i="21"/>
  <c r="J105" i="29"/>
  <c r="B105" i="34"/>
  <c r="F105" i="34"/>
  <c r="H105" i="34" s="1"/>
  <c r="G105" i="20"/>
  <c r="D106" i="20"/>
  <c r="E106" i="20" s="1"/>
  <c r="J104" i="20"/>
  <c r="D113" i="3"/>
  <c r="G112" i="3"/>
  <c r="E113" i="3"/>
  <c r="G108" i="22"/>
  <c r="D109" i="22"/>
  <c r="E109" i="22"/>
  <c r="J107" i="22"/>
  <c r="J111" i="3"/>
  <c r="D22" i="39" l="1"/>
  <c r="E22" i="39"/>
  <c r="D29" i="28"/>
  <c r="E29" i="28"/>
  <c r="F29" i="28" s="1"/>
  <c r="D30" i="28" s="1"/>
  <c r="G28" i="28"/>
  <c r="H28" i="28"/>
  <c r="F110" i="23"/>
  <c r="D111" i="23" s="1"/>
  <c r="H110" i="23"/>
  <c r="F107" i="29"/>
  <c r="E108" i="29" s="1"/>
  <c r="F105" i="39"/>
  <c r="H105" i="39" s="1"/>
  <c r="B105" i="39"/>
  <c r="I104" i="39"/>
  <c r="J109" i="23"/>
  <c r="G27" i="24"/>
  <c r="I27" i="24" s="1"/>
  <c r="D28" i="24"/>
  <c r="E28" i="24"/>
  <c r="G30" i="3"/>
  <c r="I30" i="3" s="1"/>
  <c r="J106" i="29"/>
  <c r="J104" i="31"/>
  <c r="J104" i="13"/>
  <c r="D106" i="13"/>
  <c r="G105" i="13"/>
  <c r="J110" i="18"/>
  <c r="B30" i="4"/>
  <c r="F30" i="4"/>
  <c r="H30" i="4" s="1"/>
  <c r="J111" i="4"/>
  <c r="I22" i="34"/>
  <c r="F21" i="38"/>
  <c r="G21" i="38" s="1"/>
  <c r="B21" i="38"/>
  <c r="F23" i="34"/>
  <c r="H23" i="34" s="1"/>
  <c r="B23" i="34"/>
  <c r="I24" i="25"/>
  <c r="I29" i="4"/>
  <c r="B25" i="13"/>
  <c r="B27" i="27"/>
  <c r="F27" i="27"/>
  <c r="H27" i="27" s="1"/>
  <c r="F27" i="21"/>
  <c r="G27" i="21" s="1"/>
  <c r="B27" i="21"/>
  <c r="E25" i="13"/>
  <c r="F25" i="13" s="1"/>
  <c r="F29" i="18"/>
  <c r="B29" i="18"/>
  <c r="F24" i="29"/>
  <c r="G24" i="29" s="1"/>
  <c r="I26" i="28"/>
  <c r="I28" i="19"/>
  <c r="B23" i="31"/>
  <c r="F23" i="31"/>
  <c r="H23" i="31" s="1"/>
  <c r="I20" i="38"/>
  <c r="F23" i="35"/>
  <c r="G23" i="35" s="1"/>
  <c r="B23" i="35"/>
  <c r="B27" i="28"/>
  <c r="F27" i="23"/>
  <c r="G27" i="23" s="1"/>
  <c r="B27" i="23"/>
  <c r="F26" i="22"/>
  <c r="H26" i="22" s="1"/>
  <c r="B26" i="22"/>
  <c r="G25" i="20"/>
  <c r="N5" i="20" s="1"/>
  <c r="M19" i="1" s="1"/>
  <c r="B26" i="20"/>
  <c r="H25" i="20"/>
  <c r="N6" i="20" s="1"/>
  <c r="E26" i="20"/>
  <c r="F26" i="20" s="1"/>
  <c r="B22" i="37"/>
  <c r="F22" i="37"/>
  <c r="H22" i="37" s="1"/>
  <c r="I25" i="26"/>
  <c r="B26" i="26"/>
  <c r="F26" i="26"/>
  <c r="G26" i="26" s="1"/>
  <c r="I28" i="18"/>
  <c r="F25" i="25"/>
  <c r="G25" i="25" s="1"/>
  <c r="B25" i="25"/>
  <c r="D31" i="3"/>
  <c r="E31" i="3"/>
  <c r="F29" i="19"/>
  <c r="H29" i="19" s="1"/>
  <c r="B29" i="19"/>
  <c r="I24" i="20"/>
  <c r="I21" i="37"/>
  <c r="J108" i="28"/>
  <c r="J104" i="35"/>
  <c r="D112" i="18"/>
  <c r="E112" i="18"/>
  <c r="G111" i="18"/>
  <c r="E113" i="4"/>
  <c r="D113" i="4"/>
  <c r="G112" i="4"/>
  <c r="D105" i="37"/>
  <c r="E105" i="37"/>
  <c r="G104" i="37"/>
  <c r="G105" i="31"/>
  <c r="D106" i="31"/>
  <c r="E106" i="31"/>
  <c r="J103" i="37"/>
  <c r="E109" i="26"/>
  <c r="G108" i="26"/>
  <c r="D109" i="26"/>
  <c r="G105" i="35"/>
  <c r="E106" i="35"/>
  <c r="D106" i="35"/>
  <c r="J107" i="26"/>
  <c r="B108" i="25"/>
  <c r="F108" i="25"/>
  <c r="H108" i="25" s="1"/>
  <c r="I107" i="25"/>
  <c r="J108" i="27"/>
  <c r="G109" i="24"/>
  <c r="D110" i="24"/>
  <c r="E110" i="24"/>
  <c r="I111" i="19"/>
  <c r="D106" i="38"/>
  <c r="G105" i="38"/>
  <c r="B112" i="19"/>
  <c r="F112" i="19"/>
  <c r="H112" i="19" s="1"/>
  <c r="D106" i="34"/>
  <c r="G105" i="34"/>
  <c r="E106" i="34"/>
  <c r="G109" i="21"/>
  <c r="D110" i="21"/>
  <c r="E110" i="21"/>
  <c r="J108" i="21"/>
  <c r="J104" i="34"/>
  <c r="J104" i="38"/>
  <c r="G109" i="27"/>
  <c r="D110" i="27"/>
  <c r="E110" i="27"/>
  <c r="J108" i="24"/>
  <c r="I108" i="22"/>
  <c r="I112" i="3"/>
  <c r="F109" i="22"/>
  <c r="H109" i="22" s="1"/>
  <c r="B109" i="22"/>
  <c r="F113" i="3"/>
  <c r="H113" i="3" s="1"/>
  <c r="B113" i="3"/>
  <c r="F106" i="20"/>
  <c r="B106" i="20"/>
  <c r="I105" i="20"/>
  <c r="H105" i="20"/>
  <c r="G110" i="23" l="1"/>
  <c r="E111" i="23"/>
  <c r="F111" i="23" s="1"/>
  <c r="D112" i="23" s="1"/>
  <c r="F22" i="39"/>
  <c r="G22" i="39" s="1"/>
  <c r="B22" i="39"/>
  <c r="N19" i="1"/>
  <c r="N7" i="20"/>
  <c r="M20" i="1"/>
  <c r="R128" i="1"/>
  <c r="D108" i="29"/>
  <c r="F108" i="29" s="1"/>
  <c r="G107" i="29"/>
  <c r="I107" i="29" s="1"/>
  <c r="H107" i="29"/>
  <c r="E30" i="28"/>
  <c r="F30" i="28" s="1"/>
  <c r="H30" i="28" s="1"/>
  <c r="H29" i="28"/>
  <c r="G29" i="28"/>
  <c r="J104" i="39"/>
  <c r="G105" i="39"/>
  <c r="D106" i="39"/>
  <c r="E106" i="39"/>
  <c r="I110" i="23"/>
  <c r="J110" i="23" s="1"/>
  <c r="G111" i="23"/>
  <c r="E112" i="23"/>
  <c r="F112" i="23" s="1"/>
  <c r="G112" i="23" s="1"/>
  <c r="F28" i="24"/>
  <c r="G28" i="24" s="1"/>
  <c r="B28" i="24"/>
  <c r="J107" i="25"/>
  <c r="I105" i="13"/>
  <c r="H105" i="13"/>
  <c r="E106" i="13"/>
  <c r="F106" i="13" s="1"/>
  <c r="B106" i="13"/>
  <c r="G22" i="37"/>
  <c r="I22" i="37" s="1"/>
  <c r="G23" i="31"/>
  <c r="I23" i="31" s="1"/>
  <c r="H21" i="38"/>
  <c r="I21" i="38" s="1"/>
  <c r="H27" i="23"/>
  <c r="I27" i="23" s="1"/>
  <c r="H23" i="35"/>
  <c r="I23" i="35" s="1"/>
  <c r="G29" i="19"/>
  <c r="I29" i="19" s="1"/>
  <c r="D30" i="18"/>
  <c r="E30" i="18"/>
  <c r="I25" i="20"/>
  <c r="D24" i="31"/>
  <c r="E24" i="31"/>
  <c r="G29" i="18"/>
  <c r="D24" i="34"/>
  <c r="E24" i="34"/>
  <c r="D31" i="4"/>
  <c r="E31" i="4"/>
  <c r="D30" i="19"/>
  <c r="E30" i="19"/>
  <c r="H24" i="29"/>
  <c r="D28" i="27"/>
  <c r="E28" i="27"/>
  <c r="D26" i="25"/>
  <c r="E26" i="25"/>
  <c r="F31" i="3"/>
  <c r="B31" i="3"/>
  <c r="D27" i="26"/>
  <c r="E27" i="26"/>
  <c r="G27" i="27"/>
  <c r="I27" i="27" s="1"/>
  <c r="G30" i="4"/>
  <c r="I30" i="4" s="1"/>
  <c r="D27" i="22"/>
  <c r="E27" i="22"/>
  <c r="D26" i="13"/>
  <c r="E26" i="13" s="1"/>
  <c r="E27" i="20"/>
  <c r="F27" i="20" s="1"/>
  <c r="H26" i="20"/>
  <c r="G26" i="20"/>
  <c r="B27" i="20"/>
  <c r="D23" i="37"/>
  <c r="E23" i="37"/>
  <c r="G26" i="22"/>
  <c r="I26" i="22" s="1"/>
  <c r="D28" i="21"/>
  <c r="E28" i="21"/>
  <c r="H25" i="13"/>
  <c r="D22" i="38"/>
  <c r="E22" i="38"/>
  <c r="D25" i="29"/>
  <c r="E25" i="29"/>
  <c r="H25" i="25"/>
  <c r="H26" i="26"/>
  <c r="D28" i="23"/>
  <c r="E28" i="23"/>
  <c r="D24" i="35"/>
  <c r="E24" i="35"/>
  <c r="H29" i="18"/>
  <c r="H27" i="21"/>
  <c r="G25" i="13"/>
  <c r="G23" i="34"/>
  <c r="I23" i="34" s="1"/>
  <c r="F113" i="4"/>
  <c r="H113" i="4" s="1"/>
  <c r="B113" i="4"/>
  <c r="I111" i="18"/>
  <c r="I112" i="4"/>
  <c r="B112" i="18"/>
  <c r="F112" i="18"/>
  <c r="H112" i="18" s="1"/>
  <c r="G108" i="25"/>
  <c r="E109" i="25"/>
  <c r="D109" i="25"/>
  <c r="F106" i="35"/>
  <c r="H106" i="35" s="1"/>
  <c r="B106" i="35"/>
  <c r="B106" i="31"/>
  <c r="F106" i="31"/>
  <c r="H106" i="31" s="1"/>
  <c r="I105" i="31"/>
  <c r="I105" i="35"/>
  <c r="I104" i="37"/>
  <c r="F109" i="26"/>
  <c r="H109" i="26" s="1"/>
  <c r="B109" i="26"/>
  <c r="B110" i="28"/>
  <c r="I108" i="26"/>
  <c r="F105" i="37"/>
  <c r="H105" i="37" s="1"/>
  <c r="B105" i="37"/>
  <c r="B110" i="27"/>
  <c r="F110" i="27"/>
  <c r="H110" i="27" s="1"/>
  <c r="G112" i="19"/>
  <c r="D113" i="19"/>
  <c r="E113" i="19"/>
  <c r="I109" i="27"/>
  <c r="J111" i="19"/>
  <c r="I109" i="21"/>
  <c r="I105" i="38"/>
  <c r="I105" i="34"/>
  <c r="B106" i="38"/>
  <c r="F110" i="24"/>
  <c r="H110" i="24" s="1"/>
  <c r="B110" i="24"/>
  <c r="F110" i="21"/>
  <c r="H110" i="21" s="1"/>
  <c r="B110" i="21"/>
  <c r="B106" i="34"/>
  <c r="F106" i="34"/>
  <c r="H106" i="34" s="1"/>
  <c r="E106" i="38"/>
  <c r="F106" i="38" s="1"/>
  <c r="H106" i="38" s="1"/>
  <c r="I109" i="24"/>
  <c r="J112" i="3"/>
  <c r="G109" i="22"/>
  <c r="D110" i="22"/>
  <c r="E110" i="22"/>
  <c r="J108" i="22"/>
  <c r="G106" i="20"/>
  <c r="D107" i="20"/>
  <c r="E107" i="20" s="1"/>
  <c r="E114" i="3"/>
  <c r="G113" i="3"/>
  <c r="D114" i="3"/>
  <c r="J105" i="20"/>
  <c r="F22" i="17"/>
  <c r="H22" i="39" l="1"/>
  <c r="I22" i="39" s="1"/>
  <c r="H111" i="23"/>
  <c r="J107" i="29"/>
  <c r="D23" i="39"/>
  <c r="E23" i="39"/>
  <c r="F39" i="17"/>
  <c r="G22" i="17"/>
  <c r="G39" i="17" s="1"/>
  <c r="N20" i="1"/>
  <c r="R129" i="1"/>
  <c r="O19" i="1"/>
  <c r="G108" i="29"/>
  <c r="E109" i="29"/>
  <c r="H108" i="29"/>
  <c r="G30" i="28"/>
  <c r="D31" i="28"/>
  <c r="D109" i="29"/>
  <c r="H112" i="23"/>
  <c r="F106" i="39"/>
  <c r="H106" i="39" s="1"/>
  <c r="B106" i="39"/>
  <c r="I105" i="39"/>
  <c r="J105" i="39" s="1"/>
  <c r="I111" i="23"/>
  <c r="E113" i="23"/>
  <c r="D113" i="23"/>
  <c r="I112" i="23"/>
  <c r="H28" i="24"/>
  <c r="I28" i="24" s="1"/>
  <c r="D29" i="24"/>
  <c r="E29" i="24"/>
  <c r="I108" i="29"/>
  <c r="F109" i="29"/>
  <c r="E110" i="29" s="1"/>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F22" i="38"/>
  <c r="G22" i="38" s="1"/>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B28" i="28"/>
  <c r="B28" i="21"/>
  <c r="F28" i="21"/>
  <c r="H28" i="21" s="1"/>
  <c r="I24" i="29"/>
  <c r="I27" i="28"/>
  <c r="B28" i="23"/>
  <c r="F28" i="23"/>
  <c r="G28" i="23" s="1"/>
  <c r="B28" i="20"/>
  <c r="E28" i="20"/>
  <c r="F28" i="20" s="1"/>
  <c r="G27" i="20"/>
  <c r="H27" i="20"/>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H109" i="25" s="1"/>
  <c r="B109" i="25"/>
  <c r="J109" i="28"/>
  <c r="I108" i="25"/>
  <c r="D107" i="38"/>
  <c r="G106" i="38"/>
  <c r="J105" i="38"/>
  <c r="J109" i="21"/>
  <c r="J105" i="34"/>
  <c r="D107" i="34"/>
  <c r="G106" i="34"/>
  <c r="E107" i="34"/>
  <c r="J109" i="27"/>
  <c r="F113" i="19"/>
  <c r="H113" i="19" s="1"/>
  <c r="B113" i="19"/>
  <c r="I112" i="19"/>
  <c r="J109" i="24"/>
  <c r="D111" i="24"/>
  <c r="G110" i="24"/>
  <c r="E111" i="24"/>
  <c r="D111" i="27"/>
  <c r="G110" i="27"/>
  <c r="E111" i="27"/>
  <c r="G110" i="21"/>
  <c r="D111" i="21"/>
  <c r="E111" i="21"/>
  <c r="I109" i="22"/>
  <c r="I106" i="20"/>
  <c r="H106" i="20"/>
  <c r="B114" i="3"/>
  <c r="F114" i="3"/>
  <c r="H114" i="3" s="1"/>
  <c r="F110" i="22"/>
  <c r="H110" i="22" s="1"/>
  <c r="B110" i="22"/>
  <c r="F107" i="20"/>
  <c r="B107" i="20"/>
  <c r="I113" i="3"/>
  <c r="J111" i="23" l="1"/>
  <c r="F23" i="39"/>
  <c r="H23" i="39" s="1"/>
  <c r="B23" i="39"/>
  <c r="G23" i="39"/>
  <c r="R130" i="1"/>
  <c r="O20" i="1"/>
  <c r="F40" i="17"/>
  <c r="J108" i="29"/>
  <c r="E31" i="28"/>
  <c r="F31" i="28"/>
  <c r="H31" i="28" s="1"/>
  <c r="E107" i="38"/>
  <c r="F107" i="38" s="1"/>
  <c r="H107" i="38" s="1"/>
  <c r="H109" i="29"/>
  <c r="D107" i="39"/>
  <c r="G106" i="39"/>
  <c r="E107" i="39"/>
  <c r="F113" i="23"/>
  <c r="D114" i="23" s="1"/>
  <c r="J112" i="23"/>
  <c r="B29" i="24"/>
  <c r="F29" i="24"/>
  <c r="H29" i="24" s="1"/>
  <c r="G109" i="29"/>
  <c r="D110" i="29"/>
  <c r="J113" i="3"/>
  <c r="E107" i="13"/>
  <c r="F107" i="13" s="1"/>
  <c r="B107" i="13"/>
  <c r="I106" i="13"/>
  <c r="H106" i="13"/>
  <c r="G24" i="31"/>
  <c r="I24" i="31" s="1"/>
  <c r="H31" i="4"/>
  <c r="I31" i="4" s="1"/>
  <c r="I28" i="28"/>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H22" i="38"/>
  <c r="B33" i="3"/>
  <c r="F33" i="3"/>
  <c r="D27" i="13"/>
  <c r="E27" i="13" s="1"/>
  <c r="D32" i="4"/>
  <c r="E32" i="4"/>
  <c r="E33" i="4"/>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B113" i="18"/>
  <c r="F113" i="18"/>
  <c r="H113" i="18" s="1"/>
  <c r="I112" i="18"/>
  <c r="B114" i="4"/>
  <c r="F114" i="4"/>
  <c r="H114" i="4" s="1"/>
  <c r="B106" i="37"/>
  <c r="F106" i="37"/>
  <c r="H106" i="37" s="1"/>
  <c r="D110" i="25"/>
  <c r="G109" i="25"/>
  <c r="E110" i="25"/>
  <c r="J108" i="25"/>
  <c r="I106" i="31"/>
  <c r="F107" i="35"/>
  <c r="H107" i="35" s="1"/>
  <c r="B107" i="35"/>
  <c r="B107" i="31"/>
  <c r="F107" i="31"/>
  <c r="H107" i="31" s="1"/>
  <c r="I106" i="35"/>
  <c r="I109" i="26"/>
  <c r="B111" i="28"/>
  <c r="F110" i="26"/>
  <c r="H110" i="26" s="1"/>
  <c r="B110" i="26"/>
  <c r="I105" i="37"/>
  <c r="I110" i="27"/>
  <c r="B111" i="24"/>
  <c r="F111" i="24"/>
  <c r="H111" i="24" s="1"/>
  <c r="I106" i="34"/>
  <c r="B111" i="27"/>
  <c r="F111" i="27"/>
  <c r="H111" i="27" s="1"/>
  <c r="B107" i="34"/>
  <c r="F107" i="34"/>
  <c r="H107" i="34" s="1"/>
  <c r="J112" i="19"/>
  <c r="D114" i="19"/>
  <c r="G113" i="19"/>
  <c r="E114" i="19"/>
  <c r="J109" i="22"/>
  <c r="I106" i="38"/>
  <c r="B111" i="21"/>
  <c r="F111" i="21"/>
  <c r="H111" i="21" s="1"/>
  <c r="I110" i="24"/>
  <c r="I110" i="21"/>
  <c r="B107" i="38"/>
  <c r="G110" i="22"/>
  <c r="D111" i="22"/>
  <c r="E111" i="22"/>
  <c r="E115" i="3"/>
  <c r="G114" i="3"/>
  <c r="D115" i="3"/>
  <c r="G107" i="20"/>
  <c r="D108" i="20"/>
  <c r="E108" i="20" s="1"/>
  <c r="J106" i="20"/>
  <c r="I23" i="39" l="1"/>
  <c r="D24" i="39"/>
  <c r="E24" i="39"/>
  <c r="G31" i="28"/>
  <c r="D32" i="28"/>
  <c r="E32" i="28" s="1"/>
  <c r="G113" i="23"/>
  <c r="I113" i="23" s="1"/>
  <c r="H113" i="23"/>
  <c r="F110" i="29"/>
  <c r="G110" i="29" s="1"/>
  <c r="I110" i="29" s="1"/>
  <c r="E114" i="23"/>
  <c r="F114" i="23" s="1"/>
  <c r="E115" i="23" s="1"/>
  <c r="I106" i="39"/>
  <c r="J106" i="39" s="1"/>
  <c r="F107" i="39"/>
  <c r="H107" i="39" s="1"/>
  <c r="B107" i="39"/>
  <c r="G29" i="24"/>
  <c r="I29" i="24" s="1"/>
  <c r="D30" i="24"/>
  <c r="E30" i="24"/>
  <c r="I109" i="29"/>
  <c r="J106" i="13"/>
  <c r="J110" i="28"/>
  <c r="J106" i="35"/>
  <c r="D108" i="13"/>
  <c r="G107" i="13"/>
  <c r="I28" i="20"/>
  <c r="I30" i="19"/>
  <c r="F25" i="31"/>
  <c r="H25" i="31" s="1"/>
  <c r="B25" i="31"/>
  <c r="I23" i="37"/>
  <c r="B29" i="28"/>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J113" i="4"/>
  <c r="J106" i="38"/>
  <c r="J105" i="37"/>
  <c r="J106" i="31"/>
  <c r="E108" i="31"/>
  <c r="G107" i="31"/>
  <c r="D108" i="31"/>
  <c r="I109" i="25"/>
  <c r="F110" i="25"/>
  <c r="H110" i="25" s="1"/>
  <c r="B110" i="25"/>
  <c r="D111" i="26"/>
  <c r="G110" i="26"/>
  <c r="E111" i="26"/>
  <c r="G106" i="37"/>
  <c r="E107" i="37"/>
  <c r="D107" i="37"/>
  <c r="J110" i="24"/>
  <c r="G107" i="35"/>
  <c r="D108" i="35"/>
  <c r="E108" i="35"/>
  <c r="J110" i="27"/>
  <c r="F114" i="19"/>
  <c r="H114" i="19" s="1"/>
  <c r="B114" i="19"/>
  <c r="J106" i="34"/>
  <c r="I113" i="19"/>
  <c r="D108" i="38"/>
  <c r="G107" i="38"/>
  <c r="G107" i="34"/>
  <c r="D108" i="34"/>
  <c r="E108" i="34"/>
  <c r="G111" i="24"/>
  <c r="D112" i="24"/>
  <c r="E112" i="24"/>
  <c r="D112" i="27"/>
  <c r="G111" i="27"/>
  <c r="E112" i="27"/>
  <c r="D112" i="21"/>
  <c r="G111" i="21"/>
  <c r="E112" i="21"/>
  <c r="J110" i="21"/>
  <c r="I107" i="20"/>
  <c r="H107" i="20"/>
  <c r="F115" i="3"/>
  <c r="H115" i="3" s="1"/>
  <c r="B115" i="3"/>
  <c r="I114" i="3"/>
  <c r="B111" i="22"/>
  <c r="F111" i="22"/>
  <c r="H111" i="22" s="1"/>
  <c r="B108" i="20"/>
  <c r="F108" i="20"/>
  <c r="I110" i="22"/>
  <c r="F24" i="39" l="1"/>
  <c r="B24" i="39"/>
  <c r="G24" i="39"/>
  <c r="H24" i="39"/>
  <c r="I24" i="39" s="1"/>
  <c r="D115" i="23"/>
  <c r="E111" i="29"/>
  <c r="J113" i="23"/>
  <c r="G114" i="23"/>
  <c r="I114" i="23" s="1"/>
  <c r="J114" i="23" s="1"/>
  <c r="H110" i="29"/>
  <c r="J110" i="29" s="1"/>
  <c r="H114" i="23"/>
  <c r="F32" i="28"/>
  <c r="H32" i="28" s="1"/>
  <c r="G32" i="28"/>
  <c r="D111" i="29"/>
  <c r="F115" i="23"/>
  <c r="E116" i="23" s="1"/>
  <c r="H115" i="23"/>
  <c r="E108" i="38"/>
  <c r="F108" i="38" s="1"/>
  <c r="H108" i="38" s="1"/>
  <c r="D108" i="39"/>
  <c r="G107" i="39"/>
  <c r="E108" i="39"/>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I29" i="28"/>
  <c r="D27" i="29"/>
  <c r="E27" i="29"/>
  <c r="D32" i="19"/>
  <c r="E32" i="19"/>
  <c r="E33" i="19"/>
  <c r="G32" i="4"/>
  <c r="D29" i="22"/>
  <c r="E29" i="22"/>
  <c r="D30" i="21"/>
  <c r="E30" i="2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G30" i="20"/>
  <c r="H30" i="20"/>
  <c r="B31" i="20"/>
  <c r="E31" i="20"/>
  <c r="F31" i="20" s="1"/>
  <c r="G31" i="19"/>
  <c r="I31" i="19" s="1"/>
  <c r="D25" i="37"/>
  <c r="E25" i="37"/>
  <c r="H27" i="25"/>
  <c r="G26" i="29"/>
  <c r="H28" i="22"/>
  <c r="H29" i="27"/>
  <c r="I29" i="27" s="1"/>
  <c r="D26" i="31"/>
  <c r="E26" i="31"/>
  <c r="F115" i="4"/>
  <c r="H115" i="4" s="1"/>
  <c r="B115" i="4"/>
  <c r="F114" i="18"/>
  <c r="H114" i="18" s="1"/>
  <c r="B114" i="18"/>
  <c r="I113" i="18"/>
  <c r="I114" i="4"/>
  <c r="J109" i="25"/>
  <c r="B112" i="28"/>
  <c r="B108" i="35"/>
  <c r="F108" i="35"/>
  <c r="H108" i="35" s="1"/>
  <c r="B108" i="31"/>
  <c r="F108" i="31"/>
  <c r="H108" i="31" s="1"/>
  <c r="I107" i="35"/>
  <c r="I107" i="31"/>
  <c r="I110" i="26"/>
  <c r="B111" i="26"/>
  <c r="F111" i="26"/>
  <c r="H111" i="26" s="1"/>
  <c r="B107" i="37"/>
  <c r="F107" i="37"/>
  <c r="H107" i="37" s="1"/>
  <c r="J113" i="19"/>
  <c r="I106" i="37"/>
  <c r="D111" i="25"/>
  <c r="G110" i="25"/>
  <c r="E111" i="25"/>
  <c r="I111" i="21"/>
  <c r="I107" i="34"/>
  <c r="B108" i="38"/>
  <c r="B112" i="21"/>
  <c r="F112" i="21"/>
  <c r="H112" i="21" s="1"/>
  <c r="I111" i="27"/>
  <c r="D115" i="19"/>
  <c r="G114" i="19"/>
  <c r="E115" i="19"/>
  <c r="B112" i="27"/>
  <c r="F112" i="27"/>
  <c r="H112" i="27" s="1"/>
  <c r="F112" i="24"/>
  <c r="H112" i="24" s="1"/>
  <c r="B112" i="24"/>
  <c r="I111" i="24"/>
  <c r="J114" i="3"/>
  <c r="B108" i="34"/>
  <c r="F108" i="34"/>
  <c r="H108" i="34" s="1"/>
  <c r="I107" i="38"/>
  <c r="G111" i="22"/>
  <c r="D112" i="22"/>
  <c r="E112" i="22"/>
  <c r="D116" i="3"/>
  <c r="G115" i="3"/>
  <c r="E116" i="3"/>
  <c r="J107" i="20"/>
  <c r="J110" i="22"/>
  <c r="G115" i="23"/>
  <c r="G108" i="20"/>
  <c r="D109" i="20"/>
  <c r="E109" i="20" s="1"/>
  <c r="F111" i="29" l="1"/>
  <c r="D112" i="29" s="1"/>
  <c r="D25" i="39"/>
  <c r="E25" i="39"/>
  <c r="D33" i="28"/>
  <c r="E33" i="28" s="1"/>
  <c r="F33" i="28" s="1"/>
  <c r="D34" i="28" s="1"/>
  <c r="D116" i="23"/>
  <c r="H111" i="29"/>
  <c r="E112" i="29"/>
  <c r="F112" i="29" s="1"/>
  <c r="G112" i="29" s="1"/>
  <c r="I112" i="29" s="1"/>
  <c r="G111" i="29"/>
  <c r="I111" i="29" s="1"/>
  <c r="I107" i="39"/>
  <c r="F108" i="39"/>
  <c r="H108" i="39" s="1"/>
  <c r="B108" i="39"/>
  <c r="H30" i="24"/>
  <c r="I30" i="24" s="1"/>
  <c r="D31" i="24"/>
  <c r="E31" i="24"/>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G34" i="3"/>
  <c r="B32" i="19"/>
  <c r="F32" i="19"/>
  <c r="D33" i="19" s="1"/>
  <c r="B26" i="31"/>
  <c r="F26" i="31"/>
  <c r="G26" i="31" s="1"/>
  <c r="E32" i="20"/>
  <c r="F32" i="20" s="1"/>
  <c r="E33" i="20"/>
  <c r="F33" i="20" s="1"/>
  <c r="B32" i="20"/>
  <c r="H31" i="20"/>
  <c r="G31" i="20"/>
  <c r="H34" i="3"/>
  <c r="B26" i="35"/>
  <c r="F26" i="35"/>
  <c r="H26" i="35" s="1"/>
  <c r="F30" i="21"/>
  <c r="H30" i="21" s="1"/>
  <c r="B30" i="21"/>
  <c r="J113" i="18"/>
  <c r="B30" i="27"/>
  <c r="F30" i="27"/>
  <c r="H30" i="27" s="1"/>
  <c r="F27" i="29"/>
  <c r="H27" i="29" s="1"/>
  <c r="J107" i="31"/>
  <c r="D115" i="18"/>
  <c r="E115" i="18"/>
  <c r="G114" i="18"/>
  <c r="E116" i="4"/>
  <c r="G115" i="4"/>
  <c r="D116" i="4"/>
  <c r="D112" i="26"/>
  <c r="G111" i="26"/>
  <c r="E112" i="26"/>
  <c r="G108" i="31"/>
  <c r="E109" i="31"/>
  <c r="D109" i="31"/>
  <c r="I110" i="25"/>
  <c r="B111" i="25"/>
  <c r="F111" i="25"/>
  <c r="H111" i="25" s="1"/>
  <c r="J111" i="28"/>
  <c r="J106" i="37"/>
  <c r="D109" i="35"/>
  <c r="E109" i="35"/>
  <c r="G108" i="35"/>
  <c r="G107" i="37"/>
  <c r="D108" i="37"/>
  <c r="E108" i="37"/>
  <c r="J107" i="35"/>
  <c r="J107" i="38"/>
  <c r="J111" i="27"/>
  <c r="J111" i="24"/>
  <c r="F115" i="19"/>
  <c r="H115" i="19" s="1"/>
  <c r="B115" i="19"/>
  <c r="D109" i="34"/>
  <c r="G108" i="34"/>
  <c r="E109" i="34"/>
  <c r="D109" i="38"/>
  <c r="G108" i="38"/>
  <c r="J107" i="34"/>
  <c r="G112" i="24"/>
  <c r="D113" i="24"/>
  <c r="E113" i="24"/>
  <c r="D113" i="27"/>
  <c r="G112" i="27"/>
  <c r="E113" i="27"/>
  <c r="I114" i="19"/>
  <c r="G112" i="21"/>
  <c r="D113" i="21"/>
  <c r="E113" i="21"/>
  <c r="I108" i="20"/>
  <c r="H108" i="20"/>
  <c r="F109" i="20"/>
  <c r="B109" i="20"/>
  <c r="F112" i="22"/>
  <c r="H112" i="22" s="1"/>
  <c r="B112" i="22"/>
  <c r="B116" i="3"/>
  <c r="F116" i="3"/>
  <c r="H116" i="3" s="1"/>
  <c r="I111" i="22"/>
  <c r="I115" i="23"/>
  <c r="I115" i="3"/>
  <c r="F25" i="39" l="1"/>
  <c r="B25" i="39"/>
  <c r="G25" i="39"/>
  <c r="J111" i="29"/>
  <c r="F116" i="23"/>
  <c r="G116" i="23" s="1"/>
  <c r="E34" i="28"/>
  <c r="F34" i="28"/>
  <c r="D35" i="28" s="1"/>
  <c r="G34" i="28"/>
  <c r="G33" i="28"/>
  <c r="H33" i="28"/>
  <c r="E109" i="38"/>
  <c r="F109" i="38" s="1"/>
  <c r="H109" i="38" s="1"/>
  <c r="H112" i="29"/>
  <c r="J112" i="29" s="1"/>
  <c r="J107" i="39"/>
  <c r="G108" i="39"/>
  <c r="E109" i="39"/>
  <c r="D109" i="39"/>
  <c r="D113" i="29"/>
  <c r="E113" i="29"/>
  <c r="F113" i="29" s="1"/>
  <c r="E117" i="23"/>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H30" i="23"/>
  <c r="G27" i="29"/>
  <c r="I27" i="29" s="1"/>
  <c r="D26" i="37"/>
  <c r="E26" i="37"/>
  <c r="G30" i="23"/>
  <c r="D30" i="22"/>
  <c r="E30" i="22"/>
  <c r="D31" i="27"/>
  <c r="E31" i="27"/>
  <c r="B33" i="19"/>
  <c r="F33" i="19"/>
  <c r="G33" i="19" s="1"/>
  <c r="I30" i="28"/>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6" i="4" s="1"/>
  <c r="I115" i="4"/>
  <c r="I114" i="18"/>
  <c r="B115" i="18"/>
  <c r="F115" i="18"/>
  <c r="H115" i="18" s="1"/>
  <c r="I107" i="37"/>
  <c r="I108" i="35"/>
  <c r="B109" i="31"/>
  <c r="F109" i="31"/>
  <c r="H109" i="31" s="1"/>
  <c r="B113" i="28"/>
  <c r="B109" i="35"/>
  <c r="F109" i="35"/>
  <c r="H109" i="35" s="1"/>
  <c r="I108" i="31"/>
  <c r="G111" i="25"/>
  <c r="D112" i="25"/>
  <c r="E112" i="25"/>
  <c r="I111" i="26"/>
  <c r="F108" i="37"/>
  <c r="H108" i="37" s="1"/>
  <c r="B108" i="37"/>
  <c r="F112" i="26"/>
  <c r="H112" i="26" s="1"/>
  <c r="B112" i="26"/>
  <c r="J115" i="3"/>
  <c r="J114" i="19"/>
  <c r="B113" i="24"/>
  <c r="F113" i="24"/>
  <c r="H113" i="24" s="1"/>
  <c r="J111" i="22"/>
  <c r="I112" i="24"/>
  <c r="B109" i="38"/>
  <c r="D116" i="19"/>
  <c r="G115" i="19"/>
  <c r="E116" i="19"/>
  <c r="I112" i="27"/>
  <c r="F113" i="27"/>
  <c r="H113" i="27" s="1"/>
  <c r="B113" i="27"/>
  <c r="B113" i="21"/>
  <c r="F113" i="21"/>
  <c r="H113" i="21" s="1"/>
  <c r="I108" i="34"/>
  <c r="J115" i="23"/>
  <c r="I112" i="21"/>
  <c r="I108" i="38"/>
  <c r="B109" i="34"/>
  <c r="F109" i="34"/>
  <c r="H109" i="34" s="1"/>
  <c r="G112" i="22"/>
  <c r="D113" i="22"/>
  <c r="E113" i="22"/>
  <c r="D117" i="3"/>
  <c r="G116" i="3"/>
  <c r="E117" i="3"/>
  <c r="G109" i="20"/>
  <c r="D110" i="20"/>
  <c r="E110" i="20" s="1"/>
  <c r="I116" i="23"/>
  <c r="J108" i="20"/>
  <c r="H34" i="28" l="1"/>
  <c r="H25" i="39"/>
  <c r="I25" i="39" s="1"/>
  <c r="E26" i="39"/>
  <c r="D26" i="39"/>
  <c r="D117" i="23"/>
  <c r="H116" i="23"/>
  <c r="E35" i="28"/>
  <c r="F35" i="28" s="1"/>
  <c r="F117" i="23"/>
  <c r="G117" i="23" s="1"/>
  <c r="H113" i="29"/>
  <c r="I108" i="39"/>
  <c r="J108" i="39" s="1"/>
  <c r="F109" i="39"/>
  <c r="H109" i="39" s="1"/>
  <c r="B109" i="39"/>
  <c r="I32" i="19"/>
  <c r="G113" i="29"/>
  <c r="E114" i="29"/>
  <c r="D114" i="29"/>
  <c r="G35" i="3"/>
  <c r="I35" i="3" s="1"/>
  <c r="J108" i="13"/>
  <c r="H31" i="24"/>
  <c r="I31" i="24" s="1"/>
  <c r="D32" i="24"/>
  <c r="E32" i="24"/>
  <c r="G109" i="13"/>
  <c r="D110" i="13"/>
  <c r="I33" i="20"/>
  <c r="I30" i="23"/>
  <c r="I32" i="18"/>
  <c r="F29" i="25"/>
  <c r="G29" i="25" s="1"/>
  <c r="B29" i="25"/>
  <c r="H33" i="18"/>
  <c r="I33" i="18" s="1"/>
  <c r="B27" i="34"/>
  <c r="F27" i="34"/>
  <c r="G27" i="34" s="1"/>
  <c r="B31" i="28"/>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H112" i="25" s="1"/>
  <c r="G112" i="26"/>
  <c r="D113" i="26"/>
  <c r="E113" i="26"/>
  <c r="E110" i="31"/>
  <c r="D110" i="31"/>
  <c r="G109" i="31"/>
  <c r="D109" i="37"/>
  <c r="G108" i="37"/>
  <c r="E109" i="37"/>
  <c r="I111" i="25"/>
  <c r="J112" i="28"/>
  <c r="J111" i="26"/>
  <c r="D110" i="35"/>
  <c r="E110" i="35"/>
  <c r="G109" i="35"/>
  <c r="J107" i="37"/>
  <c r="J112" i="27"/>
  <c r="D114" i="21"/>
  <c r="G113" i="21"/>
  <c r="E114" i="21"/>
  <c r="I113" i="29"/>
  <c r="I115" i="19"/>
  <c r="F116" i="19"/>
  <c r="H116" i="19" s="1"/>
  <c r="B116" i="19"/>
  <c r="G109" i="34"/>
  <c r="D110" i="34"/>
  <c r="E110" i="34"/>
  <c r="J108" i="34"/>
  <c r="D114" i="27"/>
  <c r="G113" i="27"/>
  <c r="E114" i="27"/>
  <c r="G109" i="38"/>
  <c r="D110" i="38"/>
  <c r="J112" i="24"/>
  <c r="G113" i="24"/>
  <c r="D114" i="24"/>
  <c r="E114" i="24"/>
  <c r="J116" i="23"/>
  <c r="J112" i="21"/>
  <c r="I116" i="3"/>
  <c r="B110" i="20"/>
  <c r="F110" i="20"/>
  <c r="B113" i="22"/>
  <c r="F113" i="22"/>
  <c r="H113" i="22" s="1"/>
  <c r="H109" i="20"/>
  <c r="I109" i="20"/>
  <c r="I112" i="22"/>
  <c r="F117" i="3"/>
  <c r="H117" i="3" s="1"/>
  <c r="B117" i="3"/>
  <c r="D36" i="28" l="1"/>
  <c r="G35" i="28"/>
  <c r="H35" i="28"/>
  <c r="B26" i="39"/>
  <c r="F26" i="39"/>
  <c r="H26" i="39" s="1"/>
  <c r="E118" i="23"/>
  <c r="H117" i="23"/>
  <c r="E36" i="28"/>
  <c r="F36" i="28" s="1"/>
  <c r="H36" i="28" s="1"/>
  <c r="D118" i="23"/>
  <c r="E110" i="38"/>
  <c r="F110" i="38" s="1"/>
  <c r="H110" i="38" s="1"/>
  <c r="F114" i="29"/>
  <c r="G114" i="29" s="1"/>
  <c r="I114" i="29" s="1"/>
  <c r="D110" i="39"/>
  <c r="G109" i="39"/>
  <c r="E110" i="39"/>
  <c r="B32" i="24"/>
  <c r="F32" i="24"/>
  <c r="H32" i="24" s="1"/>
  <c r="G27" i="35"/>
  <c r="I27" i="35" s="1"/>
  <c r="J115" i="19"/>
  <c r="E110" i="13"/>
  <c r="F110" i="13" s="1"/>
  <c r="B110" i="13"/>
  <c r="I109" i="13"/>
  <c r="H109" i="13"/>
  <c r="G29" i="13"/>
  <c r="I29" i="13" s="1"/>
  <c r="G28" i="29"/>
  <c r="I28" i="29" s="1"/>
  <c r="I31" i="28"/>
  <c r="G30" i="22"/>
  <c r="I30" i="22" s="1"/>
  <c r="F35" i="4"/>
  <c r="G35" i="4" s="1"/>
  <c r="B35" i="4"/>
  <c r="G35" i="20"/>
  <c r="E36" i="20"/>
  <c r="F36" i="20" s="1"/>
  <c r="B36" i="20"/>
  <c r="H35" i="20"/>
  <c r="D27" i="37"/>
  <c r="E27" i="37"/>
  <c r="D32" i="27"/>
  <c r="E32" i="27"/>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6" i="18" s="1"/>
  <c r="I115" i="18"/>
  <c r="I116" i="4"/>
  <c r="F117" i="4"/>
  <c r="H117" i="4" s="1"/>
  <c r="B117" i="4"/>
  <c r="B113" i="26"/>
  <c r="F113" i="26"/>
  <c r="H113" i="26" s="1"/>
  <c r="I112" i="26"/>
  <c r="I109" i="35"/>
  <c r="I108" i="37"/>
  <c r="F109" i="37"/>
  <c r="H109" i="37" s="1"/>
  <c r="B109" i="37"/>
  <c r="B114" i="28"/>
  <c r="F110" i="35"/>
  <c r="H110" i="35" s="1"/>
  <c r="B110" i="35"/>
  <c r="I109" i="31"/>
  <c r="B110" i="31"/>
  <c r="F110" i="31"/>
  <c r="H110" i="31" s="1"/>
  <c r="G112" i="25"/>
  <c r="D113" i="25"/>
  <c r="E113" i="25"/>
  <c r="J109" i="20"/>
  <c r="J116" i="3"/>
  <c r="J111" i="25"/>
  <c r="J113" i="29"/>
  <c r="B110" i="38"/>
  <c r="I109" i="38"/>
  <c r="F110" i="34"/>
  <c r="H110" i="34" s="1"/>
  <c r="B110" i="34"/>
  <c r="B114" i="27"/>
  <c r="F114" i="27"/>
  <c r="H114" i="27" s="1"/>
  <c r="I109" i="34"/>
  <c r="I113" i="21"/>
  <c r="I113" i="24"/>
  <c r="B114" i="24"/>
  <c r="F114" i="24"/>
  <c r="H114" i="24" s="1"/>
  <c r="I113" i="27"/>
  <c r="D117" i="19"/>
  <c r="G116" i="19"/>
  <c r="E117" i="19"/>
  <c r="F114" i="21"/>
  <c r="H114" i="21" s="1"/>
  <c r="B114" i="21"/>
  <c r="J112" i="22"/>
  <c r="D114" i="22"/>
  <c r="G113" i="22"/>
  <c r="E114" i="22"/>
  <c r="D111" i="20"/>
  <c r="E111" i="20" s="1"/>
  <c r="G110" i="20"/>
  <c r="I117" i="23"/>
  <c r="G117" i="3"/>
  <c r="E118" i="3"/>
  <c r="D118" i="3"/>
  <c r="F118" i="23" l="1"/>
  <c r="D119" i="23" s="1"/>
  <c r="G26" i="39"/>
  <c r="I26" i="39" s="1"/>
  <c r="E27" i="39"/>
  <c r="D27" i="39"/>
  <c r="G36" i="28"/>
  <c r="D37" i="28"/>
  <c r="E37" i="28"/>
  <c r="F37" i="28" s="1"/>
  <c r="D38" i="28" s="1"/>
  <c r="D115" i="29"/>
  <c r="F115" i="29" s="1"/>
  <c r="G115" i="29" s="1"/>
  <c r="E115" i="29"/>
  <c r="H114" i="29"/>
  <c r="J114" i="29" s="1"/>
  <c r="H118" i="23"/>
  <c r="I109" i="39"/>
  <c r="B110" i="39"/>
  <c r="F110" i="39"/>
  <c r="H110" i="39" s="1"/>
  <c r="G32" i="24"/>
  <c r="I32" i="24" s="1"/>
  <c r="D33" i="24"/>
  <c r="E33" i="24"/>
  <c r="J109" i="13"/>
  <c r="D111" i="13"/>
  <c r="G110" i="13"/>
  <c r="H35" i="4"/>
  <c r="I35" i="4" s="1"/>
  <c r="G36" i="3"/>
  <c r="I36" i="3" s="1"/>
  <c r="G34" i="19"/>
  <c r="I34" i="19" s="1"/>
  <c r="I31" i="23"/>
  <c r="F30" i="25"/>
  <c r="G30" i="25" s="1"/>
  <c r="B30" i="25"/>
  <c r="B28" i="31"/>
  <c r="F28" i="31"/>
  <c r="H28" i="31" s="1"/>
  <c r="B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G118" i="23"/>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H113" i="25" s="1"/>
  <c r="B113" i="25"/>
  <c r="J109" i="38"/>
  <c r="I112" i="25"/>
  <c r="D111" i="35"/>
  <c r="G110" i="35"/>
  <c r="E111" i="35"/>
  <c r="J109" i="35"/>
  <c r="G110" i="31"/>
  <c r="E111" i="31"/>
  <c r="D111" i="31"/>
  <c r="G113" i="26"/>
  <c r="E114" i="26"/>
  <c r="D114" i="26"/>
  <c r="J113" i="21"/>
  <c r="D110" i="37"/>
  <c r="G109" i="37"/>
  <c r="E110" i="37"/>
  <c r="E119" i="23"/>
  <c r="F119" i="23" s="1"/>
  <c r="H119" i="23" s="1"/>
  <c r="J109" i="34"/>
  <c r="J117" i="23"/>
  <c r="G114" i="21"/>
  <c r="D115" i="21"/>
  <c r="E115" i="21"/>
  <c r="J113" i="27"/>
  <c r="J113" i="24"/>
  <c r="D115" i="24"/>
  <c r="G114" i="24"/>
  <c r="E115" i="24"/>
  <c r="D115" i="27"/>
  <c r="G114" i="27"/>
  <c r="E115" i="27"/>
  <c r="I116" i="19"/>
  <c r="B117" i="19"/>
  <c r="F117" i="19"/>
  <c r="H117" i="19" s="1"/>
  <c r="D111" i="38"/>
  <c r="G110" i="38"/>
  <c r="G110" i="34"/>
  <c r="D111" i="34"/>
  <c r="E111" i="34"/>
  <c r="I113" i="22"/>
  <c r="I117" i="3"/>
  <c r="B114" i="22"/>
  <c r="F114" i="22"/>
  <c r="H114" i="22" s="1"/>
  <c r="B111" i="20"/>
  <c r="F111" i="20"/>
  <c r="I110" i="20"/>
  <c r="H110" i="20"/>
  <c r="F118" i="3"/>
  <c r="H118" i="3" s="1"/>
  <c r="B118" i="3"/>
  <c r="B27" i="39" l="1"/>
  <c r="F27" i="39"/>
  <c r="G27" i="39"/>
  <c r="E38" i="28"/>
  <c r="F38" i="28" s="1"/>
  <c r="H38" i="28" s="1"/>
  <c r="H37" i="28"/>
  <c r="G37" i="28"/>
  <c r="E111" i="38"/>
  <c r="H115" i="29"/>
  <c r="G110" i="39"/>
  <c r="D111" i="39"/>
  <c r="E111" i="39"/>
  <c r="J109" i="39"/>
  <c r="I118" i="23"/>
  <c r="D116" i="29"/>
  <c r="E116" i="29"/>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I36" i="20"/>
  <c r="H32" i="21"/>
  <c r="F37" i="3"/>
  <c r="G37" i="3" s="1"/>
  <c r="B37" i="3"/>
  <c r="H26" i="38"/>
  <c r="I26" i="38" s="1"/>
  <c r="H30" i="25"/>
  <c r="I30" i="25" s="1"/>
  <c r="G32" i="21"/>
  <c r="D29" i="35"/>
  <c r="E29" i="35"/>
  <c r="G28" i="34"/>
  <c r="I28" i="34" s="1"/>
  <c r="D30" i="29"/>
  <c r="E30" i="29"/>
  <c r="B33" i="21"/>
  <c r="F33" i="21"/>
  <c r="G33" i="21" s="1"/>
  <c r="B35" i="19"/>
  <c r="F35" i="19"/>
  <c r="G35" i="19" s="1"/>
  <c r="B36" i="4"/>
  <c r="F36" i="4"/>
  <c r="G36" i="4" s="1"/>
  <c r="H28" i="35"/>
  <c r="I28" i="35" s="1"/>
  <c r="B35" i="18"/>
  <c r="F35" i="18"/>
  <c r="G35" i="18" s="1"/>
  <c r="I32" i="28"/>
  <c r="G29" i="29"/>
  <c r="H30" i="13"/>
  <c r="I30" i="13" s="1"/>
  <c r="G27" i="37"/>
  <c r="D29" i="34"/>
  <c r="E29" i="34"/>
  <c r="G31" i="22"/>
  <c r="D31" i="25"/>
  <c r="E31" i="25"/>
  <c r="H29" i="29"/>
  <c r="H27" i="37"/>
  <c r="D33" i="27"/>
  <c r="E33" i="27"/>
  <c r="H31" i="22"/>
  <c r="D29" i="31"/>
  <c r="E29" i="31"/>
  <c r="B117" i="18"/>
  <c r="F117" i="18"/>
  <c r="H117" i="18" s="1"/>
  <c r="J118" i="23"/>
  <c r="I116" i="18"/>
  <c r="I117" i="4"/>
  <c r="B118" i="4"/>
  <c r="F118" i="4"/>
  <c r="H118" i="4" s="1"/>
  <c r="J116" i="19"/>
  <c r="I110" i="35"/>
  <c r="F111" i="35"/>
  <c r="H111" i="35" s="1"/>
  <c r="B111" i="35"/>
  <c r="I109" i="37"/>
  <c r="B115" i="28"/>
  <c r="F110" i="37"/>
  <c r="H110" i="37" s="1"/>
  <c r="B110" i="37"/>
  <c r="F111" i="31"/>
  <c r="H111" i="31" s="1"/>
  <c r="B111" i="31"/>
  <c r="F114" i="26"/>
  <c r="H114" i="26" s="1"/>
  <c r="B114" i="26"/>
  <c r="I110" i="31"/>
  <c r="G113" i="25"/>
  <c r="E114" i="25"/>
  <c r="D114" i="25"/>
  <c r="J117" i="3"/>
  <c r="I113" i="26"/>
  <c r="I110" i="34"/>
  <c r="I114" i="24"/>
  <c r="I110" i="38"/>
  <c r="I114" i="27"/>
  <c r="B115" i="24"/>
  <c r="F115" i="24"/>
  <c r="H115" i="24" s="1"/>
  <c r="B111" i="38"/>
  <c r="F111" i="38"/>
  <c r="H111" i="38" s="1"/>
  <c r="F115" i="27"/>
  <c r="H115" i="27" s="1"/>
  <c r="B115" i="27"/>
  <c r="I115" i="29"/>
  <c r="F115" i="21"/>
  <c r="H115" i="21" s="1"/>
  <c r="B115" i="21"/>
  <c r="J113" i="22"/>
  <c r="I114" i="21"/>
  <c r="G117" i="19"/>
  <c r="D118" i="19"/>
  <c r="E118" i="19"/>
  <c r="B111" i="34"/>
  <c r="F111" i="34"/>
  <c r="H111" i="34" s="1"/>
  <c r="G111" i="20"/>
  <c r="D112" i="20"/>
  <c r="E119" i="3"/>
  <c r="G118" i="3"/>
  <c r="D119" i="3"/>
  <c r="D115" i="22"/>
  <c r="E115" i="22"/>
  <c r="G114" i="22"/>
  <c r="J110" i="20"/>
  <c r="G119" i="23"/>
  <c r="D120" i="23"/>
  <c r="H27" i="39" l="1"/>
  <c r="D28" i="39"/>
  <c r="E28" i="39"/>
  <c r="I27" i="39"/>
  <c r="G38" i="28"/>
  <c r="D39" i="28"/>
  <c r="E120" i="23"/>
  <c r="F120" i="23" s="1"/>
  <c r="H120" i="23" s="1"/>
  <c r="F116" i="29"/>
  <c r="H116" i="29" s="1"/>
  <c r="B111" i="39"/>
  <c r="F111" i="39"/>
  <c r="H111" i="39" s="1"/>
  <c r="I110" i="39"/>
  <c r="J110" i="39" s="1"/>
  <c r="I29" i="29"/>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H114" i="25" s="1"/>
  <c r="B114" i="25"/>
  <c r="E112" i="31"/>
  <c r="G111" i="31"/>
  <c r="D112" i="31"/>
  <c r="D112" i="35"/>
  <c r="E112" i="35"/>
  <c r="G111" i="35"/>
  <c r="I113" i="25"/>
  <c r="E111" i="37"/>
  <c r="G110" i="37"/>
  <c r="D111" i="37"/>
  <c r="J114" i="28"/>
  <c r="J110" i="38"/>
  <c r="J110" i="35"/>
  <c r="J114" i="27"/>
  <c r="D112" i="34"/>
  <c r="G111" i="34"/>
  <c r="E112" i="34"/>
  <c r="J114" i="21"/>
  <c r="G115" i="21"/>
  <c r="D116" i="21"/>
  <c r="E116" i="21"/>
  <c r="G115" i="27"/>
  <c r="D116" i="27"/>
  <c r="E116" i="27"/>
  <c r="G115" i="24"/>
  <c r="D116" i="24"/>
  <c r="E116" i="24"/>
  <c r="B118" i="19"/>
  <c r="F118" i="19"/>
  <c r="H118" i="19" s="1"/>
  <c r="I117" i="19"/>
  <c r="J115" i="29"/>
  <c r="D112" i="38"/>
  <c r="G111" i="38"/>
  <c r="J114" i="24"/>
  <c r="J110" i="34"/>
  <c r="I118" i="3"/>
  <c r="B119" i="3"/>
  <c r="F119" i="3"/>
  <c r="H119" i="3" s="1"/>
  <c r="B112" i="20"/>
  <c r="I111" i="20"/>
  <c r="H111" i="20"/>
  <c r="F115" i="22"/>
  <c r="H115" i="22" s="1"/>
  <c r="B115" i="22"/>
  <c r="I119" i="23"/>
  <c r="I114" i="22"/>
  <c r="E112" i="20"/>
  <c r="F112" i="20" s="1"/>
  <c r="E117" i="29" l="1"/>
  <c r="G116" i="29"/>
  <c r="D117" i="29"/>
  <c r="F28" i="39"/>
  <c r="H28" i="39" s="1"/>
  <c r="B28" i="39"/>
  <c r="E39" i="28"/>
  <c r="F39" i="28" s="1"/>
  <c r="D112" i="39"/>
  <c r="G111" i="39"/>
  <c r="E112" i="39"/>
  <c r="B34" i="24"/>
  <c r="F34" i="24"/>
  <c r="H34" i="24" s="1"/>
  <c r="H28" i="37"/>
  <c r="I28" i="37" s="1"/>
  <c r="H111" i="13"/>
  <c r="I111" i="13"/>
  <c r="E112" i="13"/>
  <c r="F112" i="13" s="1"/>
  <c r="B112" i="13"/>
  <c r="H31" i="25"/>
  <c r="I31" i="25" s="1"/>
  <c r="G32" i="22"/>
  <c r="H32" i="22"/>
  <c r="G27" i="38"/>
  <c r="I27" i="38" s="1"/>
  <c r="G33" i="23"/>
  <c r="I33" i="23" s="1"/>
  <c r="I38" i="20"/>
  <c r="H29" i="35"/>
  <c r="I29" i="35" s="1"/>
  <c r="I33" i="28"/>
  <c r="J119" i="23"/>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B36" i="19"/>
  <c r="F36" i="19"/>
  <c r="G36" i="19" s="1"/>
  <c r="D32" i="13"/>
  <c r="E32" i="13" s="1"/>
  <c r="D34" i="27"/>
  <c r="E34" i="27"/>
  <c r="D30" i="34"/>
  <c r="E30" i="34"/>
  <c r="D30" i="31"/>
  <c r="E30" i="31"/>
  <c r="B33" i="22"/>
  <c r="F33" i="22"/>
  <c r="G33" i="22" s="1"/>
  <c r="D29" i="37"/>
  <c r="E29" i="37"/>
  <c r="B36" i="18"/>
  <c r="F36" i="18"/>
  <c r="H36" i="18" s="1"/>
  <c r="I118" i="4"/>
  <c r="I117" i="18"/>
  <c r="B119" i="4"/>
  <c r="F119" i="4"/>
  <c r="H119" i="4" s="1"/>
  <c r="B118" i="18"/>
  <c r="F118" i="18"/>
  <c r="H118" i="18" s="1"/>
  <c r="B111" i="37"/>
  <c r="F111" i="37"/>
  <c r="H111" i="37" s="1"/>
  <c r="B112" i="31"/>
  <c r="F112" i="31"/>
  <c r="H112" i="31" s="1"/>
  <c r="I110" i="37"/>
  <c r="I111" i="31"/>
  <c r="B116" i="28"/>
  <c r="J113" i="25"/>
  <c r="G114" i="25"/>
  <c r="D115" i="25"/>
  <c r="E115" i="25"/>
  <c r="I111" i="35"/>
  <c r="B115" i="26"/>
  <c r="F115" i="26"/>
  <c r="H115" i="26" s="1"/>
  <c r="J114" i="22"/>
  <c r="B112" i="35"/>
  <c r="F112" i="35"/>
  <c r="H112" i="35" s="1"/>
  <c r="I114" i="26"/>
  <c r="J118" i="3"/>
  <c r="J117" i="19"/>
  <c r="F117" i="29"/>
  <c r="D118" i="29" s="1"/>
  <c r="B112" i="38"/>
  <c r="B116" i="24"/>
  <c r="F116" i="24"/>
  <c r="H116" i="24" s="1"/>
  <c r="F116" i="21"/>
  <c r="H116" i="21" s="1"/>
  <c r="B116" i="21"/>
  <c r="I115" i="24"/>
  <c r="I115" i="21"/>
  <c r="I111" i="38"/>
  <c r="J111" i="20"/>
  <c r="E119" i="19"/>
  <c r="D119" i="19"/>
  <c r="G118" i="19"/>
  <c r="I115" i="27"/>
  <c r="I111" i="34"/>
  <c r="E112" i="38"/>
  <c r="F112" i="38" s="1"/>
  <c r="H112" i="38" s="1"/>
  <c r="I116" i="29"/>
  <c r="F116" i="27"/>
  <c r="H116" i="27" s="1"/>
  <c r="B116" i="27"/>
  <c r="F112" i="34"/>
  <c r="H112" i="34" s="1"/>
  <c r="B112" i="34"/>
  <c r="D113" i="20"/>
  <c r="E113" i="20" s="1"/>
  <c r="G112" i="20"/>
  <c r="G119" i="3"/>
  <c r="D120" i="3"/>
  <c r="E120" i="3"/>
  <c r="G120" i="23"/>
  <c r="D121" i="23"/>
  <c r="D116" i="22"/>
  <c r="G115" i="22"/>
  <c r="E116" i="22"/>
  <c r="H39" i="28" l="1"/>
  <c r="G39" i="28"/>
  <c r="G28" i="39"/>
  <c r="I28" i="39"/>
  <c r="D29" i="39"/>
  <c r="E29" i="39"/>
  <c r="D40" i="28"/>
  <c r="E40" i="28" s="1"/>
  <c r="E121" i="23"/>
  <c r="F121" i="23" s="1"/>
  <c r="H121" i="23" s="1"/>
  <c r="E118" i="29"/>
  <c r="H117" i="29"/>
  <c r="I111" i="39"/>
  <c r="J111" i="39" s="1"/>
  <c r="F112" i="39"/>
  <c r="H112" i="39" s="1"/>
  <c r="B112" i="39"/>
  <c r="G34" i="24"/>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H115" i="25" s="1"/>
  <c r="J110" i="37"/>
  <c r="E116" i="26"/>
  <c r="G115" i="26"/>
  <c r="D116" i="26"/>
  <c r="I114" i="25"/>
  <c r="D113" i="31"/>
  <c r="E113" i="31"/>
  <c r="G112" i="31"/>
  <c r="G117" i="29"/>
  <c r="D112" i="37"/>
  <c r="G111" i="37"/>
  <c r="E112" i="37"/>
  <c r="J115" i="27"/>
  <c r="D113" i="38"/>
  <c r="G112" i="38"/>
  <c r="G116" i="21"/>
  <c r="D117" i="21"/>
  <c r="E117" i="21"/>
  <c r="G116" i="27"/>
  <c r="D117" i="27"/>
  <c r="E117" i="27"/>
  <c r="I118" i="19"/>
  <c r="G116" i="24"/>
  <c r="D117" i="24"/>
  <c r="E117" i="24"/>
  <c r="F119" i="19"/>
  <c r="H119" i="19" s="1"/>
  <c r="B119" i="19"/>
  <c r="F118" i="29"/>
  <c r="H118" i="29" s="1"/>
  <c r="J116" i="29"/>
  <c r="J111" i="34"/>
  <c r="D113" i="34"/>
  <c r="G112" i="34"/>
  <c r="E113" i="34"/>
  <c r="I115" i="22"/>
  <c r="I119" i="3"/>
  <c r="F120" i="3"/>
  <c r="H120" i="3" s="1"/>
  <c r="B120" i="3"/>
  <c r="B116" i="22"/>
  <c r="F116" i="22"/>
  <c r="H116" i="22" s="1"/>
  <c r="I120" i="23"/>
  <c r="H112" i="20"/>
  <c r="I112" i="20"/>
  <c r="B113" i="20"/>
  <c r="F113" i="20"/>
  <c r="F29" i="39" l="1"/>
  <c r="B29" i="39"/>
  <c r="G29" i="39"/>
  <c r="H29" i="39"/>
  <c r="I29" i="39" s="1"/>
  <c r="F40" i="28"/>
  <c r="G40" i="28"/>
  <c r="H40" i="28"/>
  <c r="E113" i="38"/>
  <c r="F113" i="38" s="1"/>
  <c r="H113" i="38" s="1"/>
  <c r="D113" i="39"/>
  <c r="G112" i="39"/>
  <c r="E113" i="39"/>
  <c r="B35" i="24"/>
  <c r="F35" i="24"/>
  <c r="G35" i="24" s="1"/>
  <c r="I117" i="29"/>
  <c r="J117" i="29" s="1"/>
  <c r="E113" i="13"/>
  <c r="F113" i="13" s="1"/>
  <c r="H112" i="13"/>
  <c r="I112" i="13"/>
  <c r="H34" i="23"/>
  <c r="I34" i="23" s="1"/>
  <c r="I34" i="28"/>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3"/>
  <c r="E35" i="23"/>
  <c r="H29" i="37"/>
  <c r="I29" i="37" s="1"/>
  <c r="H31" i="29"/>
  <c r="I118" i="18"/>
  <c r="F120" i="4"/>
  <c r="H120" i="4" s="1"/>
  <c r="B120" i="4"/>
  <c r="B119" i="18"/>
  <c r="F119" i="18"/>
  <c r="H119" i="18" s="1"/>
  <c r="I119" i="4"/>
  <c r="I112" i="31"/>
  <c r="B117" i="28"/>
  <c r="G115" i="25"/>
  <c r="D116" i="25"/>
  <c r="E116" i="25"/>
  <c r="B113" i="31"/>
  <c r="F113" i="31"/>
  <c r="H113" i="31" s="1"/>
  <c r="J114" i="25"/>
  <c r="I112" i="35"/>
  <c r="I111" i="37"/>
  <c r="F116" i="26"/>
  <c r="H116" i="26" s="1"/>
  <c r="B116" i="26"/>
  <c r="F112" i="37"/>
  <c r="H112" i="37" s="1"/>
  <c r="B112" i="37"/>
  <c r="I115" i="26"/>
  <c r="B113" i="35"/>
  <c r="F113" i="35"/>
  <c r="H113" i="35" s="1"/>
  <c r="J120" i="23"/>
  <c r="I112" i="34"/>
  <c r="I112" i="38"/>
  <c r="D119" i="29"/>
  <c r="G118" i="29"/>
  <c r="B117" i="24"/>
  <c r="F117" i="24"/>
  <c r="H117" i="24" s="1"/>
  <c r="B117" i="27"/>
  <c r="F117" i="27"/>
  <c r="H117" i="27" s="1"/>
  <c r="I116" i="24"/>
  <c r="I116" i="27"/>
  <c r="B113" i="38"/>
  <c r="B113" i="34"/>
  <c r="F113" i="34"/>
  <c r="H113" i="34" s="1"/>
  <c r="J119" i="3"/>
  <c r="F117" i="21"/>
  <c r="H117" i="21" s="1"/>
  <c r="B117" i="21"/>
  <c r="D120" i="19"/>
  <c r="G119" i="19"/>
  <c r="E120" i="19"/>
  <c r="J118" i="19"/>
  <c r="I116" i="21"/>
  <c r="G120" i="3"/>
  <c r="D121" i="3"/>
  <c r="E121" i="3"/>
  <c r="D122" i="23"/>
  <c r="G121" i="23"/>
  <c r="D114" i="20"/>
  <c r="E114" i="20" s="1"/>
  <c r="G113" i="20"/>
  <c r="G116" i="22"/>
  <c r="E117" i="22"/>
  <c r="D117" i="22"/>
  <c r="J112" i="20"/>
  <c r="D30" i="39" l="1"/>
  <c r="E30" i="39"/>
  <c r="D41" i="28"/>
  <c r="E41" i="28"/>
  <c r="F41" i="28" s="1"/>
  <c r="D42" i="28" s="1"/>
  <c r="E122" i="23"/>
  <c r="F122" i="23" s="1"/>
  <c r="H122" i="23" s="1"/>
  <c r="E119" i="29"/>
  <c r="I112" i="39"/>
  <c r="F113" i="39"/>
  <c r="H113" i="39" s="1"/>
  <c r="B113" i="39"/>
  <c r="G37" i="19"/>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H116" i="25" s="1"/>
  <c r="J116" i="24"/>
  <c r="J115" i="26"/>
  <c r="J112" i="35"/>
  <c r="I115" i="25"/>
  <c r="D113" i="37"/>
  <c r="E113" i="37"/>
  <c r="G112" i="37"/>
  <c r="G113" i="31"/>
  <c r="E114" i="31"/>
  <c r="D114" i="31"/>
  <c r="G116" i="26"/>
  <c r="D117" i="26"/>
  <c r="E117" i="26"/>
  <c r="J116" i="28"/>
  <c r="J112" i="31"/>
  <c r="I119" i="19"/>
  <c r="F120" i="19"/>
  <c r="H120" i="19" s="1"/>
  <c r="B120" i="19"/>
  <c r="J116" i="27"/>
  <c r="I118" i="29"/>
  <c r="J112" i="34"/>
  <c r="D118" i="24"/>
  <c r="G117" i="24"/>
  <c r="E118" i="24"/>
  <c r="G117" i="21"/>
  <c r="D118" i="21"/>
  <c r="E118" i="21"/>
  <c r="F119" i="29"/>
  <c r="H119" i="29" s="1"/>
  <c r="D114" i="38"/>
  <c r="G113" i="38"/>
  <c r="J116" i="21"/>
  <c r="J112" i="38"/>
  <c r="D114" i="34"/>
  <c r="G113" i="34"/>
  <c r="E114" i="34"/>
  <c r="D118" i="27"/>
  <c r="G117" i="27"/>
  <c r="E118" i="27"/>
  <c r="B121" i="3"/>
  <c r="F121" i="3"/>
  <c r="H121" i="3" s="1"/>
  <c r="I113" i="20"/>
  <c r="H113" i="20"/>
  <c r="I120" i="3"/>
  <c r="F117" i="22"/>
  <c r="H117" i="22" s="1"/>
  <c r="B117" i="22"/>
  <c r="B114" i="20"/>
  <c r="F114" i="20"/>
  <c r="I116" i="22"/>
  <c r="I121" i="23"/>
  <c r="F30" i="39" l="1"/>
  <c r="B30" i="39"/>
  <c r="G30" i="39"/>
  <c r="E42" i="28"/>
  <c r="F42" i="28" s="1"/>
  <c r="H42" i="28" s="1"/>
  <c r="G41" i="28"/>
  <c r="H41" i="28"/>
  <c r="G113" i="39"/>
  <c r="D114" i="39"/>
  <c r="E114" i="39"/>
  <c r="J112" i="39"/>
  <c r="B36" i="24"/>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I35" i="28"/>
  <c r="H30" i="37"/>
  <c r="I30" i="37" s="1"/>
  <c r="B35" i="22"/>
  <c r="F35" i="22"/>
  <c r="G35" i="22" s="1"/>
  <c r="B36" i="21"/>
  <c r="F36" i="21"/>
  <c r="H36" i="21" s="1"/>
  <c r="B40" i="3"/>
  <c r="F40" i="3"/>
  <c r="H40" i="3" s="1"/>
  <c r="E44" i="20"/>
  <c r="F44" i="20" s="1"/>
  <c r="B44" i="20"/>
  <c r="H43" i="20"/>
  <c r="G43" i="20"/>
  <c r="H35" i="23"/>
  <c r="F39" i="4"/>
  <c r="H39" i="4" s="1"/>
  <c r="B39" i="4"/>
  <c r="D36" i="27"/>
  <c r="E36" i="27"/>
  <c r="D31" i="37"/>
  <c r="E31" i="37"/>
  <c r="F38" i="19"/>
  <c r="H38" i="19" s="1"/>
  <c r="B38" i="19"/>
  <c r="D35" i="26"/>
  <c r="E35" i="26"/>
  <c r="G32" i="29"/>
  <c r="D32" i="35"/>
  <c r="E32" i="35"/>
  <c r="G35" i="27"/>
  <c r="I35" i="27" s="1"/>
  <c r="H29" i="38"/>
  <c r="G31" i="31"/>
  <c r="I31" i="31" s="1"/>
  <c r="G33" i="25"/>
  <c r="I33" i="25" s="1"/>
  <c r="G35" i="23"/>
  <c r="F121" i="4"/>
  <c r="H121" i="4" s="1"/>
  <c r="B121" i="4"/>
  <c r="J120" i="3"/>
  <c r="F120" i="18"/>
  <c r="H120" i="18" s="1"/>
  <c r="B120" i="18"/>
  <c r="I119" i="18"/>
  <c r="I120" i="4"/>
  <c r="F113" i="37"/>
  <c r="H113" i="37" s="1"/>
  <c r="B113" i="37"/>
  <c r="B117" i="26"/>
  <c r="F117" i="26"/>
  <c r="H117" i="26" s="1"/>
  <c r="B118" i="28"/>
  <c r="D117" i="25"/>
  <c r="E117" i="25"/>
  <c r="G116" i="25"/>
  <c r="I116" i="26"/>
  <c r="B114" i="31"/>
  <c r="F114" i="31"/>
  <c r="H114" i="31" s="1"/>
  <c r="B114" i="35"/>
  <c r="F114" i="35"/>
  <c r="H114" i="35" s="1"/>
  <c r="I113" i="31"/>
  <c r="I113" i="35"/>
  <c r="I112" i="37"/>
  <c r="I113" i="34"/>
  <c r="F114" i="34"/>
  <c r="H114" i="34" s="1"/>
  <c r="B114" i="34"/>
  <c r="D120" i="29"/>
  <c r="G119" i="29"/>
  <c r="J118" i="29"/>
  <c r="D121" i="19"/>
  <c r="G120" i="19"/>
  <c r="B114" i="38"/>
  <c r="E114" i="38"/>
  <c r="F114" i="38" s="1"/>
  <c r="H114" i="38" s="1"/>
  <c r="B118" i="21"/>
  <c r="F118" i="21"/>
  <c r="H118" i="21" s="1"/>
  <c r="I117" i="21"/>
  <c r="I117" i="27"/>
  <c r="B118" i="24"/>
  <c r="F118" i="24"/>
  <c r="H118" i="24" s="1"/>
  <c r="J121" i="23"/>
  <c r="F118" i="27"/>
  <c r="H118" i="27" s="1"/>
  <c r="B118" i="27"/>
  <c r="I113" i="38"/>
  <c r="I117" i="24"/>
  <c r="J119" i="19"/>
  <c r="D115" i="20"/>
  <c r="G114" i="20"/>
  <c r="J113" i="20"/>
  <c r="E118" i="22"/>
  <c r="G117" i="22"/>
  <c r="D118" i="22"/>
  <c r="J116" i="22"/>
  <c r="D122" i="3"/>
  <c r="G121" i="3"/>
  <c r="G122" i="23"/>
  <c r="D123" i="23"/>
  <c r="H30" i="39" l="1"/>
  <c r="I30" i="39" s="1"/>
  <c r="E31" i="39"/>
  <c r="D31" i="39"/>
  <c r="G42" i="28"/>
  <c r="D43" i="28"/>
  <c r="E121" i="19"/>
  <c r="F121" i="19" s="1"/>
  <c r="H121" i="19" s="1"/>
  <c r="E120" i="29"/>
  <c r="F114" i="39"/>
  <c r="H114" i="39" s="1"/>
  <c r="B114" i="39"/>
  <c r="I113" i="39"/>
  <c r="J113" i="39" s="1"/>
  <c r="I29" i="38"/>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H35" i="22"/>
  <c r="I35" i="22" s="1"/>
  <c r="I32" i="29"/>
  <c r="J113" i="34"/>
  <c r="F32" i="35"/>
  <c r="H32" i="35" s="1"/>
  <c r="B32" i="35"/>
  <c r="I43" i="20"/>
  <c r="D37" i="21"/>
  <c r="E37" i="21"/>
  <c r="J117" i="24"/>
  <c r="G120" i="18"/>
  <c r="D121" i="18"/>
  <c r="J120" i="4"/>
  <c r="G121" i="4"/>
  <c r="D122" i="4"/>
  <c r="D115" i="31"/>
  <c r="G114" i="31"/>
  <c r="E115" i="31"/>
  <c r="F117" i="25"/>
  <c r="H117" i="25" s="1"/>
  <c r="B117" i="25"/>
  <c r="J112" i="37"/>
  <c r="J117" i="28"/>
  <c r="D118" i="26"/>
  <c r="G117" i="26"/>
  <c r="E118" i="26"/>
  <c r="G114" i="35"/>
  <c r="E115" i="35"/>
  <c r="D115" i="35"/>
  <c r="I116" i="25"/>
  <c r="D114" i="37"/>
  <c r="G113" i="37"/>
  <c r="E114" i="37"/>
  <c r="J117" i="21"/>
  <c r="B121" i="19"/>
  <c r="G114" i="34"/>
  <c r="D115" i="34"/>
  <c r="E115" i="34"/>
  <c r="G118" i="27"/>
  <c r="D119" i="27"/>
  <c r="E119" i="27"/>
  <c r="D115" i="38"/>
  <c r="G114" i="38"/>
  <c r="G118" i="21"/>
  <c r="D119" i="21"/>
  <c r="E119" i="21"/>
  <c r="G118" i="24"/>
  <c r="D119" i="24"/>
  <c r="E119" i="24"/>
  <c r="I120" i="19"/>
  <c r="F120" i="29"/>
  <c r="H120" i="29" s="1"/>
  <c r="I119" i="29"/>
  <c r="B118" i="22"/>
  <c r="F118" i="22"/>
  <c r="H118" i="22" s="1"/>
  <c r="B122" i="3"/>
  <c r="B115" i="20"/>
  <c r="I122" i="23"/>
  <c r="I121" i="3"/>
  <c r="H114" i="20"/>
  <c r="I114" i="20"/>
  <c r="I117" i="22"/>
  <c r="E123" i="23"/>
  <c r="F123" i="23" s="1"/>
  <c r="H123" i="23" s="1"/>
  <c r="E122" i="3"/>
  <c r="F122" i="3" s="1"/>
  <c r="H122" i="3" s="1"/>
  <c r="E115" i="20"/>
  <c r="F115" i="20" s="1"/>
  <c r="B31" i="39" l="1"/>
  <c r="F31" i="39"/>
  <c r="H31" i="39"/>
  <c r="E43" i="28"/>
  <c r="F43" i="28" s="1"/>
  <c r="G43" i="28" s="1"/>
  <c r="B121" i="18"/>
  <c r="E115" i="38"/>
  <c r="D115" i="39"/>
  <c r="E115" i="39"/>
  <c r="G114" i="39"/>
  <c r="B37" i="24"/>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B36" i="22"/>
  <c r="F36" i="22"/>
  <c r="D32" i="37"/>
  <c r="E32" i="37"/>
  <c r="D36" i="26"/>
  <c r="E36" i="26"/>
  <c r="E46" i="20"/>
  <c r="F46" i="20" s="1"/>
  <c r="G45" i="20"/>
  <c r="H45" i="20"/>
  <c r="B46" i="20"/>
  <c r="G36" i="23"/>
  <c r="I36" i="23" s="1"/>
  <c r="I44" i="20"/>
  <c r="D37" i="27"/>
  <c r="E37" i="27"/>
  <c r="J122" i="23"/>
  <c r="I36" i="28"/>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H122" i="4" s="1"/>
  <c r="B122" i="4"/>
  <c r="I121" i="4"/>
  <c r="J119" i="29"/>
  <c r="E121" i="18"/>
  <c r="F121" i="18" s="1"/>
  <c r="H121" i="18" s="1"/>
  <c r="I120" i="18"/>
  <c r="B115" i="35"/>
  <c r="F115" i="35"/>
  <c r="H115" i="35" s="1"/>
  <c r="I114" i="35"/>
  <c r="I113" i="37"/>
  <c r="I117" i="26"/>
  <c r="D118" i="25"/>
  <c r="G117" i="25"/>
  <c r="E118" i="25"/>
  <c r="B114" i="37"/>
  <c r="F114" i="37"/>
  <c r="H114" i="37" s="1"/>
  <c r="F118" i="26"/>
  <c r="H118" i="26" s="1"/>
  <c r="B118" i="26"/>
  <c r="J116" i="25"/>
  <c r="I114" i="31"/>
  <c r="J121" i="3"/>
  <c r="B119" i="28"/>
  <c r="F115" i="31"/>
  <c r="H115" i="31" s="1"/>
  <c r="B115" i="31"/>
  <c r="I118" i="24"/>
  <c r="I114" i="38"/>
  <c r="B119" i="21"/>
  <c r="F119" i="21"/>
  <c r="H119" i="21" s="1"/>
  <c r="I118" i="21"/>
  <c r="I114" i="34"/>
  <c r="B119" i="24"/>
  <c r="F119" i="24"/>
  <c r="H119" i="24" s="1"/>
  <c r="B115" i="34"/>
  <c r="F115" i="34"/>
  <c r="H115" i="34" s="1"/>
  <c r="F119" i="27"/>
  <c r="H119" i="27" s="1"/>
  <c r="B119" i="27"/>
  <c r="D122" i="19"/>
  <c r="G121" i="19"/>
  <c r="J120" i="19"/>
  <c r="D121" i="29"/>
  <c r="G120" i="29"/>
  <c r="F115" i="38"/>
  <c r="H115" i="38" s="1"/>
  <c r="B115" i="38"/>
  <c r="J114" i="20"/>
  <c r="I118" i="27"/>
  <c r="G115" i="20"/>
  <c r="D116" i="20"/>
  <c r="E116" i="20" s="1"/>
  <c r="D123" i="3"/>
  <c r="G122" i="3"/>
  <c r="G123" i="23"/>
  <c r="D124" i="23"/>
  <c r="J117" i="22"/>
  <c r="G118" i="22"/>
  <c r="D119" i="22"/>
  <c r="G31" i="39" l="1"/>
  <c r="I31" i="39" s="1"/>
  <c r="D32" i="39"/>
  <c r="E32" i="39"/>
  <c r="H43" i="28"/>
  <c r="D44" i="28"/>
  <c r="E44" i="28"/>
  <c r="F44" i="28" s="1"/>
  <c r="E124" i="23"/>
  <c r="E123" i="3"/>
  <c r="F123" i="3" s="1"/>
  <c r="H123" i="3" s="1"/>
  <c r="I114" i="39"/>
  <c r="B115" i="39"/>
  <c r="F115" i="39"/>
  <c r="H115" i="39" s="1"/>
  <c r="H37" i="24"/>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G121" i="18"/>
  <c r="D122" i="18"/>
  <c r="J114" i="31"/>
  <c r="D123" i="4"/>
  <c r="G122" i="4"/>
  <c r="G114" i="37"/>
  <c r="E115" i="37"/>
  <c r="D115" i="37"/>
  <c r="I117" i="25"/>
  <c r="F118" i="25"/>
  <c r="H118" i="25" s="1"/>
  <c r="B118" i="25"/>
  <c r="J117" i="26"/>
  <c r="E116" i="35"/>
  <c r="G115" i="35"/>
  <c r="D116" i="35"/>
  <c r="J114" i="34"/>
  <c r="D116" i="31"/>
  <c r="G115" i="31"/>
  <c r="E116" i="31"/>
  <c r="D119" i="26"/>
  <c r="G118" i="26"/>
  <c r="J113" i="37"/>
  <c r="G119" i="27"/>
  <c r="D120" i="27"/>
  <c r="J118" i="21"/>
  <c r="B122" i="19"/>
  <c r="G115" i="34"/>
  <c r="D116" i="34"/>
  <c r="E116" i="34"/>
  <c r="D120" i="21"/>
  <c r="G119" i="21"/>
  <c r="J118" i="27"/>
  <c r="G115" i="38"/>
  <c r="D116" i="38"/>
  <c r="E122" i="19"/>
  <c r="F122" i="19" s="1"/>
  <c r="H122" i="19" s="1"/>
  <c r="I120" i="29"/>
  <c r="E121" i="29"/>
  <c r="F121" i="29" s="1"/>
  <c r="H121" i="29" s="1"/>
  <c r="I121" i="19"/>
  <c r="D120" i="24"/>
  <c r="G119" i="24"/>
  <c r="E120" i="24"/>
  <c r="J114" i="38"/>
  <c r="J118" i="24"/>
  <c r="I122" i="3"/>
  <c r="B123" i="3"/>
  <c r="B119" i="22"/>
  <c r="I118" i="22"/>
  <c r="B116" i="20"/>
  <c r="F116" i="20"/>
  <c r="I123" i="23"/>
  <c r="E119" i="22"/>
  <c r="F119" i="22" s="1"/>
  <c r="H119" i="22" s="1"/>
  <c r="F124" i="23"/>
  <c r="H124" i="23" s="1"/>
  <c r="I115" i="20"/>
  <c r="H115" i="20"/>
  <c r="F32" i="39" l="1"/>
  <c r="B32" i="39"/>
  <c r="H32" i="39"/>
  <c r="G32" i="39"/>
  <c r="D45" i="28"/>
  <c r="E45" i="28" s="1"/>
  <c r="F45" i="28" s="1"/>
  <c r="D46" i="28" s="1"/>
  <c r="G44" i="28"/>
  <c r="H44" i="28"/>
  <c r="E120" i="27"/>
  <c r="F120" i="27" s="1"/>
  <c r="H120" i="27" s="1"/>
  <c r="E120" i="21"/>
  <c r="F120" i="21" s="1"/>
  <c r="H120" i="21" s="1"/>
  <c r="E119" i="26"/>
  <c r="E116" i="38"/>
  <c r="F116" i="38" s="1"/>
  <c r="H116" i="38" s="1"/>
  <c r="B120" i="28"/>
  <c r="D116" i="39"/>
  <c r="G115" i="39"/>
  <c r="E116" i="39"/>
  <c r="J114" i="39"/>
  <c r="I46" i="20"/>
  <c r="F38" i="24"/>
  <c r="G38" i="24" s="1"/>
  <c r="B38" i="24"/>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G33" i="35"/>
  <c r="G34" i="29"/>
  <c r="D38" i="23"/>
  <c r="E38" i="23"/>
  <c r="B42" i="3"/>
  <c r="F42" i="3"/>
  <c r="G42" i="3" s="1"/>
  <c r="H33" i="35"/>
  <c r="D34" i="31"/>
  <c r="E34" i="31"/>
  <c r="B41" i="4"/>
  <c r="F41" i="4"/>
  <c r="H34" i="29"/>
  <c r="D32" i="38"/>
  <c r="E32" i="38"/>
  <c r="I37" i="28"/>
  <c r="I41" i="3"/>
  <c r="D38" i="27"/>
  <c r="E38" i="27"/>
  <c r="G37" i="23"/>
  <c r="I37" i="23" s="1"/>
  <c r="I122" i="4"/>
  <c r="J117" i="25"/>
  <c r="E123" i="4"/>
  <c r="F123" i="4" s="1"/>
  <c r="H123" i="4" s="1"/>
  <c r="B123" i="4"/>
  <c r="E122" i="18"/>
  <c r="F122" i="18" s="1"/>
  <c r="H122" i="18" s="1"/>
  <c r="B122" i="18"/>
  <c r="I121" i="18"/>
  <c r="F116" i="31"/>
  <c r="H116" i="31" s="1"/>
  <c r="B116" i="31"/>
  <c r="B116" i="35"/>
  <c r="F116" i="35"/>
  <c r="H116" i="35" s="1"/>
  <c r="B115" i="37"/>
  <c r="F115" i="37"/>
  <c r="H115" i="37" s="1"/>
  <c r="I115" i="35"/>
  <c r="I118" i="26"/>
  <c r="I114" i="37"/>
  <c r="B119" i="26"/>
  <c r="F119" i="26"/>
  <c r="H119" i="26" s="1"/>
  <c r="I115" i="31"/>
  <c r="G118" i="25"/>
  <c r="D119" i="25"/>
  <c r="J120" i="29"/>
  <c r="J121" i="19"/>
  <c r="G122" i="19"/>
  <c r="D123" i="19"/>
  <c r="G121" i="29"/>
  <c r="D122" i="29"/>
  <c r="B120" i="21"/>
  <c r="I115" i="38"/>
  <c r="I119" i="21"/>
  <c r="I119" i="24"/>
  <c r="B120" i="27"/>
  <c r="B116" i="38"/>
  <c r="J115" i="20"/>
  <c r="J122" i="3"/>
  <c r="B116" i="34"/>
  <c r="F116" i="34"/>
  <c r="H116" i="34" s="1"/>
  <c r="I119" i="27"/>
  <c r="B120" i="24"/>
  <c r="F120" i="24"/>
  <c r="H120" i="24" s="1"/>
  <c r="I115" i="34"/>
  <c r="G119" i="22"/>
  <c r="D120" i="22"/>
  <c r="D125" i="23"/>
  <c r="G124" i="23"/>
  <c r="J123" i="23"/>
  <c r="J118" i="22"/>
  <c r="D124" i="3"/>
  <c r="G123" i="3"/>
  <c r="G116" i="20"/>
  <c r="D117" i="20"/>
  <c r="I32" i="39" l="1"/>
  <c r="E33" i="39"/>
  <c r="D33" i="39"/>
  <c r="E46" i="28"/>
  <c r="F46" i="28" s="1"/>
  <c r="H45" i="28"/>
  <c r="G45" i="28"/>
  <c r="E123" i="19"/>
  <c r="E119" i="25"/>
  <c r="E124" i="3"/>
  <c r="F124" i="3" s="1"/>
  <c r="H124" i="3" s="1"/>
  <c r="E120" i="22"/>
  <c r="F120" i="22" s="1"/>
  <c r="H120" i="22" s="1"/>
  <c r="E122" i="29"/>
  <c r="F122" i="29" s="1"/>
  <c r="H122" i="29" s="1"/>
  <c r="I115" i="39"/>
  <c r="F116" i="39"/>
  <c r="H116" i="39" s="1"/>
  <c r="B116" i="39"/>
  <c r="H38" i="24"/>
  <c r="I38" i="24" s="1"/>
  <c r="H38" i="21"/>
  <c r="I38" i="21" s="1"/>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J115" i="38"/>
  <c r="G119" i="26"/>
  <c r="D120" i="26"/>
  <c r="G115" i="37"/>
  <c r="D116" i="37"/>
  <c r="E116" i="37"/>
  <c r="B119" i="25"/>
  <c r="F119" i="25"/>
  <c r="H119" i="25" s="1"/>
  <c r="I118" i="25"/>
  <c r="G116" i="35"/>
  <c r="D117" i="35"/>
  <c r="J114" i="37"/>
  <c r="D117" i="31"/>
  <c r="G116" i="31"/>
  <c r="D121" i="21"/>
  <c r="G120" i="21"/>
  <c r="D121" i="24"/>
  <c r="G120" i="24"/>
  <c r="J119" i="27"/>
  <c r="J119" i="24"/>
  <c r="J119" i="21"/>
  <c r="I121" i="29"/>
  <c r="D117" i="34"/>
  <c r="G116" i="34"/>
  <c r="D117" i="38"/>
  <c r="G116" i="38"/>
  <c r="F123" i="19"/>
  <c r="H123" i="19" s="1"/>
  <c r="B123" i="19"/>
  <c r="J115" i="34"/>
  <c r="D121" i="27"/>
  <c r="G120" i="27"/>
  <c r="I122" i="19"/>
  <c r="B117" i="20"/>
  <c r="I119" i="22"/>
  <c r="B120" i="22"/>
  <c r="I116" i="20"/>
  <c r="H116" i="20"/>
  <c r="I123" i="3"/>
  <c r="I124" i="23"/>
  <c r="E117" i="20"/>
  <c r="F117" i="20" s="1"/>
  <c r="B124" i="3"/>
  <c r="E125" i="23"/>
  <c r="F125" i="23" s="1"/>
  <c r="H125" i="23" s="1"/>
  <c r="F33" i="39" l="1"/>
  <c r="B33" i="39"/>
  <c r="H33" i="39"/>
  <c r="H46" i="28"/>
  <c r="D47" i="28"/>
  <c r="G46" i="28"/>
  <c r="E121" i="21"/>
  <c r="F121" i="21" s="1"/>
  <c r="H121" i="21" s="1"/>
  <c r="E121" i="24"/>
  <c r="F121" i="24" s="1"/>
  <c r="H121" i="24" s="1"/>
  <c r="B124" i="4"/>
  <c r="E117" i="38"/>
  <c r="F117" i="38" s="1"/>
  <c r="H117" i="38" s="1"/>
  <c r="B117" i="31"/>
  <c r="B121" i="28"/>
  <c r="D117" i="39"/>
  <c r="E117" i="39"/>
  <c r="G116" i="39"/>
  <c r="J115" i="39"/>
  <c r="F39" i="24"/>
  <c r="G39" i="24" s="1"/>
  <c r="B39" i="24"/>
  <c r="I116" i="13"/>
  <c r="H116" i="13"/>
  <c r="E117" i="13"/>
  <c r="F117" i="13" s="1"/>
  <c r="B117" i="13"/>
  <c r="G35" i="29"/>
  <c r="I35" i="29" s="1"/>
  <c r="H33" i="37"/>
  <c r="I33" i="37" s="1"/>
  <c r="I40" i="18"/>
  <c r="H36" i="25"/>
  <c r="D35" i="31"/>
  <c r="E35" i="31"/>
  <c r="D35" i="34"/>
  <c r="E35" i="34"/>
  <c r="D39" i="23"/>
  <c r="E39" i="23"/>
  <c r="B39" i="21"/>
  <c r="F39" i="21"/>
  <c r="G39" i="21" s="1"/>
  <c r="D38" i="26"/>
  <c r="E38" i="26"/>
  <c r="F42" i="4"/>
  <c r="G42" i="4" s="1"/>
  <c r="B42" i="4"/>
  <c r="J120" i="28"/>
  <c r="D37" i="13"/>
  <c r="E37" i="13" s="1"/>
  <c r="G34" i="31"/>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36" i="25"/>
  <c r="I41" i="4"/>
  <c r="G32" i="38"/>
  <c r="H38" i="23"/>
  <c r="D36" i="29"/>
  <c r="E36" i="29"/>
  <c r="G34" i="35"/>
  <c r="G38" i="27"/>
  <c r="G36" i="13"/>
  <c r="I36" i="13" s="1"/>
  <c r="H34" i="31"/>
  <c r="H34" i="35"/>
  <c r="D37" i="25"/>
  <c r="E37" i="25"/>
  <c r="F41" i="18"/>
  <c r="H41" i="18" s="1"/>
  <c r="B41" i="18"/>
  <c r="J121" i="29"/>
  <c r="E124" i="4"/>
  <c r="F124" i="4" s="1"/>
  <c r="H124" i="4" s="1"/>
  <c r="I123" i="4"/>
  <c r="I122" i="18"/>
  <c r="E117" i="31"/>
  <c r="F117" i="31" s="1"/>
  <c r="D118" i="31" s="1"/>
  <c r="J118" i="25"/>
  <c r="E123" i="18"/>
  <c r="F123" i="18" s="1"/>
  <c r="H123" i="18" s="1"/>
  <c r="B123" i="18"/>
  <c r="B116" i="37"/>
  <c r="F116" i="37"/>
  <c r="H116" i="37" s="1"/>
  <c r="E117" i="35"/>
  <c r="F117" i="35" s="1"/>
  <c r="H117" i="35" s="1"/>
  <c r="B117" i="35"/>
  <c r="I115" i="37"/>
  <c r="I116" i="35"/>
  <c r="E120" i="26"/>
  <c r="F120" i="26" s="1"/>
  <c r="H120" i="26" s="1"/>
  <c r="B120" i="26"/>
  <c r="I119" i="26"/>
  <c r="I116" i="31"/>
  <c r="D120" i="25"/>
  <c r="G119" i="25"/>
  <c r="J122" i="19"/>
  <c r="I120" i="24"/>
  <c r="B117" i="34"/>
  <c r="B117" i="38"/>
  <c r="B121" i="24"/>
  <c r="B121" i="27"/>
  <c r="I116" i="38"/>
  <c r="J124" i="23"/>
  <c r="G123" i="19"/>
  <c r="D124" i="19"/>
  <c r="E121" i="27"/>
  <c r="F121" i="27" s="1"/>
  <c r="H121" i="27" s="1"/>
  <c r="E117" i="34"/>
  <c r="F117" i="34" s="1"/>
  <c r="H117" i="34" s="1"/>
  <c r="G122" i="29"/>
  <c r="D123" i="29"/>
  <c r="I120" i="21"/>
  <c r="J123" i="3"/>
  <c r="J119" i="22"/>
  <c r="I120" i="27"/>
  <c r="I116" i="34"/>
  <c r="B121" i="21"/>
  <c r="G125" i="23"/>
  <c r="D126" i="23"/>
  <c r="G117" i="20"/>
  <c r="D118" i="20"/>
  <c r="E118" i="20" s="1"/>
  <c r="G120" i="22"/>
  <c r="D121" i="22"/>
  <c r="J116" i="20"/>
  <c r="G124" i="3"/>
  <c r="D125" i="3"/>
  <c r="G33" i="39" l="1"/>
  <c r="I33" i="39" s="1"/>
  <c r="D34" i="39"/>
  <c r="E34" i="39"/>
  <c r="E47" i="28"/>
  <c r="F47" i="28" s="1"/>
  <c r="E121" i="22"/>
  <c r="F121" i="22" s="1"/>
  <c r="H121" i="22" s="1"/>
  <c r="E125" i="3"/>
  <c r="H117" i="31"/>
  <c r="E123" i="29"/>
  <c r="F123" i="29" s="1"/>
  <c r="H123" i="29" s="1"/>
  <c r="B122" i="28"/>
  <c r="I116" i="39"/>
  <c r="F117" i="39"/>
  <c r="H117" i="39" s="1"/>
  <c r="B117" i="39"/>
  <c r="H39" i="24"/>
  <c r="I39" i="24" s="1"/>
  <c r="E40" i="24"/>
  <c r="D40" i="24"/>
  <c r="I34" i="31"/>
  <c r="G117" i="13"/>
  <c r="D118" i="13"/>
  <c r="B118" i="13" s="1"/>
  <c r="G117" i="31"/>
  <c r="I117" i="31" s="1"/>
  <c r="J116" i="13"/>
  <c r="I38" i="27"/>
  <c r="H42" i="4"/>
  <c r="I42" i="4" s="1"/>
  <c r="G43" i="3"/>
  <c r="I43" i="3" s="1"/>
  <c r="I32" i="38"/>
  <c r="D42" i="19"/>
  <c r="E42" i="19"/>
  <c r="D39" i="22"/>
  <c r="E39" i="22"/>
  <c r="I38" i="28"/>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J116" i="35"/>
  <c r="D125" i="4"/>
  <c r="G124" i="4"/>
  <c r="D118" i="35"/>
  <c r="G117" i="35"/>
  <c r="J119" i="26"/>
  <c r="J115" i="37"/>
  <c r="I119" i="25"/>
  <c r="E118" i="31"/>
  <c r="F118" i="31" s="1"/>
  <c r="H118" i="31" s="1"/>
  <c r="B118" i="31"/>
  <c r="E120" i="25"/>
  <c r="F120" i="25" s="1"/>
  <c r="H120" i="25" s="1"/>
  <c r="B120" i="25"/>
  <c r="G120" i="26"/>
  <c r="D121" i="26"/>
  <c r="J120" i="21"/>
  <c r="G116" i="37"/>
  <c r="D117" i="37"/>
  <c r="J116" i="31"/>
  <c r="J116" i="34"/>
  <c r="G121" i="27"/>
  <c r="D122" i="27"/>
  <c r="G117" i="38"/>
  <c r="D118" i="38"/>
  <c r="J120" i="27"/>
  <c r="B124" i="19"/>
  <c r="G117" i="34"/>
  <c r="D118" i="34"/>
  <c r="I122" i="29"/>
  <c r="I123" i="19"/>
  <c r="D122" i="24"/>
  <c r="G121" i="24"/>
  <c r="D122" i="21"/>
  <c r="G121" i="21"/>
  <c r="E124" i="19"/>
  <c r="F124" i="19" s="1"/>
  <c r="H124" i="19" s="1"/>
  <c r="B121" i="22"/>
  <c r="B125" i="3"/>
  <c r="F125" i="3"/>
  <c r="H125" i="3" s="1"/>
  <c r="I120" i="22"/>
  <c r="I125" i="23"/>
  <c r="F118" i="20"/>
  <c r="B118" i="20"/>
  <c r="I117" i="20"/>
  <c r="H117" i="20"/>
  <c r="I124" i="3"/>
  <c r="E126" i="23"/>
  <c r="F126" i="23" s="1"/>
  <c r="H126" i="23" s="1"/>
  <c r="D48" i="28" l="1"/>
  <c r="H47" i="28"/>
  <c r="B34" i="39"/>
  <c r="F34" i="39"/>
  <c r="H34" i="39" s="1"/>
  <c r="E48" i="28"/>
  <c r="F48" i="28" s="1"/>
  <c r="H48" i="28" s="1"/>
  <c r="G47" i="28"/>
  <c r="E122" i="24"/>
  <c r="F122" i="24" s="1"/>
  <c r="H122" i="24" s="1"/>
  <c r="B121" i="26"/>
  <c r="E122" i="27"/>
  <c r="E122" i="21"/>
  <c r="F122" i="21" s="1"/>
  <c r="H122" i="21" s="1"/>
  <c r="E124" i="18"/>
  <c r="F124" i="18" s="1"/>
  <c r="H124" i="18" s="1"/>
  <c r="E118" i="38"/>
  <c r="F118" i="38" s="1"/>
  <c r="H118" i="38" s="1"/>
  <c r="E118" i="35"/>
  <c r="F118" i="35" s="1"/>
  <c r="H118" i="35" s="1"/>
  <c r="E118" i="34"/>
  <c r="F118" i="34" s="1"/>
  <c r="H118" i="34" s="1"/>
  <c r="E118" i="39"/>
  <c r="D118" i="39"/>
  <c r="G117" i="39"/>
  <c r="J116" i="39"/>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I39" i="28"/>
  <c r="F42" i="19"/>
  <c r="G42" i="19" s="1"/>
  <c r="B42" i="19"/>
  <c r="E125" i="4"/>
  <c r="F125" i="4" s="1"/>
  <c r="H125" i="4" s="1"/>
  <c r="B125" i="4"/>
  <c r="J125" i="23"/>
  <c r="I123" i="18"/>
  <c r="B124" i="18"/>
  <c r="J121" i="28"/>
  <c r="I124" i="4"/>
  <c r="D121" i="25"/>
  <c r="G120" i="25"/>
  <c r="I116" i="37"/>
  <c r="G118" i="31"/>
  <c r="D119" i="31"/>
  <c r="E121" i="26"/>
  <c r="F121" i="26" s="1"/>
  <c r="H121" i="26" s="1"/>
  <c r="I120" i="26"/>
  <c r="I117" i="35"/>
  <c r="E117" i="37"/>
  <c r="F117" i="37" s="1"/>
  <c r="H117" i="37" s="1"/>
  <c r="B117" i="37"/>
  <c r="B118" i="35"/>
  <c r="G124" i="19"/>
  <c r="D125" i="19"/>
  <c r="B118" i="34"/>
  <c r="B118" i="38"/>
  <c r="I121" i="24"/>
  <c r="I117" i="34"/>
  <c r="I117" i="38"/>
  <c r="I121" i="21"/>
  <c r="B122" i="24"/>
  <c r="B122" i="21"/>
  <c r="J123" i="19"/>
  <c r="B122" i="27"/>
  <c r="F122" i="27"/>
  <c r="H122" i="27" s="1"/>
  <c r="G123" i="29"/>
  <c r="D124" i="29"/>
  <c r="J122" i="29"/>
  <c r="I121" i="27"/>
  <c r="J120" i="22"/>
  <c r="J117" i="20"/>
  <c r="D122" i="22"/>
  <c r="G121" i="22"/>
  <c r="D126" i="3"/>
  <c r="G125" i="3"/>
  <c r="J124" i="3"/>
  <c r="D127" i="23"/>
  <c r="G126" i="23"/>
  <c r="G118" i="20"/>
  <c r="D119" i="20"/>
  <c r="E119" i="20" s="1"/>
  <c r="G34" i="39" l="1"/>
  <c r="D35" i="39"/>
  <c r="E35" i="39"/>
  <c r="I34" i="39"/>
  <c r="G48" i="28"/>
  <c r="D49" i="28"/>
  <c r="E49" i="28" s="1"/>
  <c r="F49" i="28" s="1"/>
  <c r="D50" i="28" s="1"/>
  <c r="E121" i="25"/>
  <c r="F121" i="25" s="1"/>
  <c r="H121" i="25" s="1"/>
  <c r="E126" i="3"/>
  <c r="F126" i="3" s="1"/>
  <c r="H126" i="3" s="1"/>
  <c r="F118" i="39"/>
  <c r="H118" i="39" s="1"/>
  <c r="B118" i="39"/>
  <c r="I117" i="39"/>
  <c r="G40" i="24"/>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B40" i="28"/>
  <c r="G42" i="18"/>
  <c r="H42" i="19"/>
  <c r="I42" i="19" s="1"/>
  <c r="G40" i="21"/>
  <c r="I38" i="26"/>
  <c r="F34" i="38"/>
  <c r="G34" i="38" s="1"/>
  <c r="B34" i="38"/>
  <c r="H42" i="18"/>
  <c r="F38" i="13"/>
  <c r="H38" i="13" s="1"/>
  <c r="B38" i="13"/>
  <c r="D44" i="4"/>
  <c r="E44" i="4"/>
  <c r="G124" i="18"/>
  <c r="D125" i="18"/>
  <c r="G125" i="4"/>
  <c r="D126" i="4"/>
  <c r="J117" i="35"/>
  <c r="D118" i="37"/>
  <c r="G117" i="37"/>
  <c r="G121" i="26"/>
  <c r="D122" i="26"/>
  <c r="E119" i="31"/>
  <c r="F119" i="31" s="1"/>
  <c r="H119" i="31" s="1"/>
  <c r="B119" i="31"/>
  <c r="I118" i="31"/>
  <c r="B123" i="28"/>
  <c r="G118" i="35"/>
  <c r="D119" i="35"/>
  <c r="I120" i="25"/>
  <c r="J117" i="38"/>
  <c r="J120" i="26"/>
  <c r="B121" i="25"/>
  <c r="J121" i="21"/>
  <c r="J121" i="24"/>
  <c r="D119" i="38"/>
  <c r="G118" i="38"/>
  <c r="B125" i="19"/>
  <c r="G122" i="24"/>
  <c r="D123" i="24"/>
  <c r="J117" i="34"/>
  <c r="D119" i="34"/>
  <c r="G118" i="34"/>
  <c r="I124" i="19"/>
  <c r="E125" i="19"/>
  <c r="F125" i="19" s="1"/>
  <c r="H125" i="19" s="1"/>
  <c r="I123" i="29"/>
  <c r="G122" i="27"/>
  <c r="D123" i="27"/>
  <c r="G122" i="21"/>
  <c r="D123" i="21"/>
  <c r="E124" i="29"/>
  <c r="F124" i="29" s="1"/>
  <c r="H124" i="29" s="1"/>
  <c r="I125" i="3"/>
  <c r="I121" i="22"/>
  <c r="B126" i="3"/>
  <c r="B122" i="22"/>
  <c r="B119" i="20"/>
  <c r="F119" i="20"/>
  <c r="H118" i="20"/>
  <c r="I118" i="20"/>
  <c r="I126" i="23"/>
  <c r="E127" i="23"/>
  <c r="F127" i="23" s="1"/>
  <c r="H127" i="23" s="1"/>
  <c r="E122" i="22"/>
  <c r="F122" i="22" s="1"/>
  <c r="H122" i="22" s="1"/>
  <c r="F35" i="39" l="1"/>
  <c r="B35" i="39"/>
  <c r="H49" i="28"/>
  <c r="G49" i="28"/>
  <c r="E50" i="28"/>
  <c r="F50" i="28"/>
  <c r="D51" i="28" s="1"/>
  <c r="E123" i="21"/>
  <c r="F123" i="21" s="1"/>
  <c r="H123" i="21" s="1"/>
  <c r="B125" i="18"/>
  <c r="E119" i="38"/>
  <c r="E119" i="35"/>
  <c r="F119" i="35" s="1"/>
  <c r="H119" i="35" s="1"/>
  <c r="E119" i="34"/>
  <c r="F119" i="34" s="1"/>
  <c r="H119" i="34" s="1"/>
  <c r="J117" i="39"/>
  <c r="G118" i="39"/>
  <c r="E119" i="39"/>
  <c r="D119" i="39"/>
  <c r="H36" i="35"/>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37" i="31"/>
  <c r="E37" i="31"/>
  <c r="B54" i="20"/>
  <c r="G53" i="20"/>
  <c r="H53" i="20"/>
  <c r="E54" i="20"/>
  <c r="F54" i="20" s="1"/>
  <c r="D39" i="25"/>
  <c r="E39" i="25"/>
  <c r="B43" i="18"/>
  <c r="F43" i="18"/>
  <c r="H43" i="18" s="1"/>
  <c r="I40" i="21"/>
  <c r="B40" i="22"/>
  <c r="F40" i="22"/>
  <c r="D41" i="23"/>
  <c r="E41" i="23"/>
  <c r="I44" i="3"/>
  <c r="I36" i="35"/>
  <c r="G40" i="23"/>
  <c r="D37" i="35"/>
  <c r="E37" i="35"/>
  <c r="B44" i="4"/>
  <c r="F44" i="4"/>
  <c r="H44" i="4" s="1"/>
  <c r="D38" i="29"/>
  <c r="E38" i="29"/>
  <c r="H40" i="23"/>
  <c r="D41" i="27"/>
  <c r="E41" i="27"/>
  <c r="F43" i="19"/>
  <c r="H43" i="19" s="1"/>
  <c r="B43" i="19"/>
  <c r="G38" i="13"/>
  <c r="I38" i="13" s="1"/>
  <c r="D35" i="38"/>
  <c r="E35" i="38"/>
  <c r="D40" i="26"/>
  <c r="E40" i="26"/>
  <c r="D36" i="37"/>
  <c r="E36" i="37"/>
  <c r="D37" i="34"/>
  <c r="E37" i="34"/>
  <c r="G36" i="31"/>
  <c r="I36" i="31" s="1"/>
  <c r="I52" i="20"/>
  <c r="H38" i="25"/>
  <c r="I38" i="25" s="1"/>
  <c r="F45" i="3"/>
  <c r="H45" i="3" s="1"/>
  <c r="B45" i="3"/>
  <c r="F41" i="21"/>
  <c r="G41" i="21" s="1"/>
  <c r="B41" i="21"/>
  <c r="J123" i="29"/>
  <c r="E126" i="4"/>
  <c r="F126" i="4" s="1"/>
  <c r="H126" i="4" s="1"/>
  <c r="B126" i="4"/>
  <c r="I125" i="4"/>
  <c r="E125" i="18"/>
  <c r="F125" i="18" s="1"/>
  <c r="H125" i="18" s="1"/>
  <c r="J120" i="25"/>
  <c r="I124" i="18"/>
  <c r="J122" i="28"/>
  <c r="D122" i="25"/>
  <c r="G121" i="25"/>
  <c r="B119" i="35"/>
  <c r="G119" i="31"/>
  <c r="D120" i="31"/>
  <c r="I118" i="35"/>
  <c r="E122" i="26"/>
  <c r="F122" i="26" s="1"/>
  <c r="H122" i="26" s="1"/>
  <c r="B122" i="26"/>
  <c r="I121" i="26"/>
  <c r="I117" i="37"/>
  <c r="E118" i="37"/>
  <c r="F118" i="37" s="1"/>
  <c r="H118" i="37" s="1"/>
  <c r="B118" i="37"/>
  <c r="I122" i="27"/>
  <c r="I122" i="24"/>
  <c r="G124" i="29"/>
  <c r="D125" i="29"/>
  <c r="D126" i="19"/>
  <c r="G125" i="19"/>
  <c r="F119" i="38"/>
  <c r="H119" i="38" s="1"/>
  <c r="B119" i="38"/>
  <c r="B123" i="27"/>
  <c r="I118" i="38"/>
  <c r="I118" i="34"/>
  <c r="B119" i="34"/>
  <c r="I122" i="21"/>
  <c r="B123" i="24"/>
  <c r="J118" i="20"/>
  <c r="J125" i="3"/>
  <c r="B123" i="21"/>
  <c r="E123" i="27"/>
  <c r="F123" i="27" s="1"/>
  <c r="H123" i="27" s="1"/>
  <c r="E123" i="24"/>
  <c r="F123" i="24" s="1"/>
  <c r="H123" i="24" s="1"/>
  <c r="G122" i="22"/>
  <c r="D123" i="22"/>
  <c r="D128" i="23"/>
  <c r="G127" i="23"/>
  <c r="D120" i="20"/>
  <c r="E120" i="20" s="1"/>
  <c r="G119" i="20"/>
  <c r="D127" i="3"/>
  <c r="G126" i="3"/>
  <c r="J121" i="22"/>
  <c r="H35" i="39" l="1"/>
  <c r="E36" i="39"/>
  <c r="D36" i="39"/>
  <c r="G35" i="39"/>
  <c r="E51" i="28"/>
  <c r="F51" i="28" s="1"/>
  <c r="H50" i="28"/>
  <c r="G50" i="28"/>
  <c r="E122" i="25"/>
  <c r="F122" i="25" s="1"/>
  <c r="H122" i="25" s="1"/>
  <c r="E126" i="19"/>
  <c r="F126" i="19" s="1"/>
  <c r="H126" i="19" s="1"/>
  <c r="E127" i="3"/>
  <c r="B120" i="31"/>
  <c r="I118" i="39"/>
  <c r="J118" i="39" s="1"/>
  <c r="F119" i="39"/>
  <c r="H119" i="39" s="1"/>
  <c r="B119" i="39"/>
  <c r="I53" i="20"/>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D44" i="19"/>
  <c r="E44" i="19"/>
  <c r="D45" i="4"/>
  <c r="E45" i="4"/>
  <c r="B39" i="13"/>
  <c r="J121" i="26"/>
  <c r="F40" i="26"/>
  <c r="G40" i="26" s="1"/>
  <c r="B40" i="26"/>
  <c r="G43" i="19"/>
  <c r="I43" i="19" s="1"/>
  <c r="G44" i="4"/>
  <c r="I44" i="4" s="1"/>
  <c r="E39" i="13"/>
  <c r="F39" i="13" s="1"/>
  <c r="J122" i="27"/>
  <c r="D46" i="3"/>
  <c r="E46" i="3"/>
  <c r="I40" i="28"/>
  <c r="D44" i="18"/>
  <c r="E44" i="18"/>
  <c r="D126" i="18"/>
  <c r="G125" i="18"/>
  <c r="J118" i="38"/>
  <c r="J117" i="37"/>
  <c r="J125" i="4"/>
  <c r="G126" i="4"/>
  <c r="D127" i="4"/>
  <c r="J124" i="18"/>
  <c r="G118" i="37"/>
  <c r="D119" i="37"/>
  <c r="I119" i="31"/>
  <c r="B124" i="28"/>
  <c r="E120" i="31"/>
  <c r="F120" i="31" s="1"/>
  <c r="H120" i="31" s="1"/>
  <c r="G122" i="26"/>
  <c r="D123" i="26"/>
  <c r="D120" i="35"/>
  <c r="G119" i="35"/>
  <c r="I121" i="25"/>
  <c r="B122" i="25"/>
  <c r="J122" i="21"/>
  <c r="D124" i="24"/>
  <c r="G123" i="24"/>
  <c r="G123" i="27"/>
  <c r="D124" i="27"/>
  <c r="I124" i="29"/>
  <c r="D120" i="38"/>
  <c r="G119" i="38"/>
  <c r="I125" i="19"/>
  <c r="J122" i="24"/>
  <c r="J118" i="34"/>
  <c r="B126" i="19"/>
  <c r="D124" i="21"/>
  <c r="G123" i="21"/>
  <c r="D120" i="34"/>
  <c r="G119" i="34"/>
  <c r="E125" i="29"/>
  <c r="F125" i="29" s="1"/>
  <c r="H125" i="29" s="1"/>
  <c r="H119" i="20"/>
  <c r="I119" i="20"/>
  <c r="B123" i="22"/>
  <c r="F120" i="20"/>
  <c r="B120" i="20"/>
  <c r="I126" i="3"/>
  <c r="I122" i="22"/>
  <c r="E128" i="23"/>
  <c r="F128" i="23" s="1"/>
  <c r="H128" i="23" s="1"/>
  <c r="B127" i="3"/>
  <c r="F127" i="3"/>
  <c r="H127" i="3" s="1"/>
  <c r="I127" i="23"/>
  <c r="E123" i="22"/>
  <c r="F123" i="22" s="1"/>
  <c r="H123" i="22" s="1"/>
  <c r="H51" i="28" l="1"/>
  <c r="G51" i="28"/>
  <c r="B36" i="39"/>
  <c r="F36" i="39"/>
  <c r="H36" i="39" s="1"/>
  <c r="I35" i="39"/>
  <c r="D52" i="28"/>
  <c r="E52" i="28" s="1"/>
  <c r="F52" i="28" s="1"/>
  <c r="E124" i="24"/>
  <c r="F124" i="24" s="1"/>
  <c r="H124" i="24" s="1"/>
  <c r="E124" i="27"/>
  <c r="F124" i="27" s="1"/>
  <c r="H124" i="27" s="1"/>
  <c r="B123" i="26"/>
  <c r="E124" i="21"/>
  <c r="F124" i="21" s="1"/>
  <c r="H124" i="21" s="1"/>
  <c r="E126" i="18"/>
  <c r="F126" i="18" s="1"/>
  <c r="H126" i="18" s="1"/>
  <c r="B127" i="4"/>
  <c r="E119" i="37"/>
  <c r="F119" i="37" s="1"/>
  <c r="H119" i="37" s="1"/>
  <c r="B120" i="35"/>
  <c r="E120" i="34"/>
  <c r="F120" i="34" s="1"/>
  <c r="H120" i="34" s="1"/>
  <c r="G119" i="39"/>
  <c r="E120" i="39"/>
  <c r="D120" i="39"/>
  <c r="I40" i="22"/>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0" i="25"/>
  <c r="E40" i="25"/>
  <c r="H39" i="25"/>
  <c r="D38" i="31"/>
  <c r="E38" i="31"/>
  <c r="H35" i="38"/>
  <c r="I35" i="38" s="1"/>
  <c r="D37" i="37"/>
  <c r="E37" i="37"/>
  <c r="G37" i="31"/>
  <c r="I37" i="31" s="1"/>
  <c r="G41" i="23"/>
  <c r="D42" i="27"/>
  <c r="E42" i="27"/>
  <c r="J119" i="20"/>
  <c r="D41" i="26"/>
  <c r="E41" i="26"/>
  <c r="G36" i="37"/>
  <c r="I36" i="37" s="1"/>
  <c r="G39" i="25"/>
  <c r="D38" i="35"/>
  <c r="E38" i="35"/>
  <c r="H41" i="23"/>
  <c r="F46" i="3"/>
  <c r="H46" i="3" s="1"/>
  <c r="B46" i="3"/>
  <c r="F45" i="4"/>
  <c r="G45" i="4" s="1"/>
  <c r="B45" i="4"/>
  <c r="I54" i="20"/>
  <c r="H37" i="34"/>
  <c r="I37" i="34" s="1"/>
  <c r="E123" i="26"/>
  <c r="F123" i="26" s="1"/>
  <c r="D124" i="26" s="1"/>
  <c r="I126" i="4"/>
  <c r="E120" i="35"/>
  <c r="F120" i="35" s="1"/>
  <c r="D121" i="35" s="1"/>
  <c r="I125" i="18"/>
  <c r="J119" i="31"/>
  <c r="E127" i="4"/>
  <c r="F127" i="4" s="1"/>
  <c r="H127" i="4" s="1"/>
  <c r="B126" i="18"/>
  <c r="I119" i="35"/>
  <c r="G122" i="25"/>
  <c r="D123" i="25"/>
  <c r="J123" i="28"/>
  <c r="I122" i="26"/>
  <c r="D121" i="31"/>
  <c r="G120" i="31"/>
  <c r="B119" i="37"/>
  <c r="J121" i="25"/>
  <c r="I118" i="37"/>
  <c r="I119" i="34"/>
  <c r="G125" i="29"/>
  <c r="D126" i="29"/>
  <c r="B120" i="34"/>
  <c r="J125" i="19"/>
  <c r="B124" i="27"/>
  <c r="J122" i="22"/>
  <c r="I119" i="38"/>
  <c r="I123" i="27"/>
  <c r="G126" i="19"/>
  <c r="D127" i="19"/>
  <c r="B120" i="38"/>
  <c r="J127" i="23"/>
  <c r="I123" i="21"/>
  <c r="E120" i="38"/>
  <c r="F120" i="38" s="1"/>
  <c r="H120" i="38" s="1"/>
  <c r="J124" i="29"/>
  <c r="I123" i="24"/>
  <c r="J126" i="3"/>
  <c r="B124" i="21"/>
  <c r="B124" i="24"/>
  <c r="D129" i="23"/>
  <c r="G128" i="23"/>
  <c r="G123" i="22"/>
  <c r="D124" i="22"/>
  <c r="G127" i="3"/>
  <c r="D128" i="3"/>
  <c r="G120" i="20"/>
  <c r="D121" i="20"/>
  <c r="G36" i="39" l="1"/>
  <c r="I36" i="39"/>
  <c r="E37" i="39"/>
  <c r="D37" i="39"/>
  <c r="D53" i="28"/>
  <c r="E53" i="28" s="1"/>
  <c r="F53" i="28" s="1"/>
  <c r="D54" i="28" s="1"/>
  <c r="G52" i="28"/>
  <c r="H52" i="28"/>
  <c r="H123" i="26"/>
  <c r="E127" i="19"/>
  <c r="F127" i="19" s="1"/>
  <c r="H127" i="19" s="1"/>
  <c r="E128" i="3"/>
  <c r="E129" i="23"/>
  <c r="F129" i="23" s="1"/>
  <c r="H129" i="23" s="1"/>
  <c r="E124" i="22"/>
  <c r="F124" i="22" s="1"/>
  <c r="H124" i="22" s="1"/>
  <c r="H120" i="35"/>
  <c r="E121" i="31"/>
  <c r="F121" i="31" s="1"/>
  <c r="H121" i="31" s="1"/>
  <c r="E126" i="29"/>
  <c r="F126" i="29" s="1"/>
  <c r="H126" i="29" s="1"/>
  <c r="I119" i="39"/>
  <c r="J119" i="39" s="1"/>
  <c r="B120" i="39"/>
  <c r="F120" i="39"/>
  <c r="H120" i="39" s="1"/>
  <c r="J119" i="13"/>
  <c r="H42" i="24"/>
  <c r="I42" i="24" s="1"/>
  <c r="E43" i="24"/>
  <c r="D43" i="24"/>
  <c r="D121" i="13"/>
  <c r="G120" i="13"/>
  <c r="G120" i="35"/>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B42" i="28"/>
  <c r="B36" i="38"/>
  <c r="F36" i="38"/>
  <c r="H36" i="38" s="1"/>
  <c r="D42" i="22"/>
  <c r="E42" i="22"/>
  <c r="G46" i="3"/>
  <c r="I46" i="3" s="1"/>
  <c r="B38" i="31"/>
  <c r="F38" i="31"/>
  <c r="G38" i="31" s="1"/>
  <c r="I39" i="25"/>
  <c r="D45" i="18"/>
  <c r="E45" i="18"/>
  <c r="D43" i="21"/>
  <c r="E43" i="21"/>
  <c r="D45" i="19"/>
  <c r="E45" i="19"/>
  <c r="B40" i="13"/>
  <c r="F40" i="13"/>
  <c r="G40" i="13" s="1"/>
  <c r="G127" i="4"/>
  <c r="D128" i="4"/>
  <c r="E121" i="35"/>
  <c r="F121" i="35" s="1"/>
  <c r="H121" i="35" s="1"/>
  <c r="J119" i="34"/>
  <c r="D127" i="18"/>
  <c r="G126" i="18"/>
  <c r="J119" i="35"/>
  <c r="J122" i="26"/>
  <c r="D120" i="37"/>
  <c r="G119" i="37"/>
  <c r="B123" i="25"/>
  <c r="B125" i="28"/>
  <c r="I122" i="25"/>
  <c r="I120" i="31"/>
  <c r="E123" i="25"/>
  <c r="F123" i="25" s="1"/>
  <c r="H123" i="25" s="1"/>
  <c r="B124" i="26"/>
  <c r="E124" i="26"/>
  <c r="F124" i="26" s="1"/>
  <c r="H124" i="26" s="1"/>
  <c r="J118" i="37"/>
  <c r="B121" i="31"/>
  <c r="B121" i="35"/>
  <c r="J123" i="21"/>
  <c r="J123" i="27"/>
  <c r="I125" i="29"/>
  <c r="I126" i="19"/>
  <c r="D125" i="21"/>
  <c r="G124" i="21"/>
  <c r="J119" i="38"/>
  <c r="G120" i="38"/>
  <c r="D121" i="38"/>
  <c r="D125" i="27"/>
  <c r="G124" i="27"/>
  <c r="G120" i="34"/>
  <c r="D121" i="34"/>
  <c r="E121" i="34"/>
  <c r="J123" i="24"/>
  <c r="D125" i="24"/>
  <c r="G124" i="24"/>
  <c r="B127" i="19"/>
  <c r="I123" i="22"/>
  <c r="I128" i="23"/>
  <c r="B121" i="20"/>
  <c r="I120" i="20"/>
  <c r="H120" i="20"/>
  <c r="I127" i="3"/>
  <c r="E121" i="20"/>
  <c r="F121" i="20" s="1"/>
  <c r="B128" i="3"/>
  <c r="F128" i="3"/>
  <c r="H128" i="3" s="1"/>
  <c r="B124" i="22"/>
  <c r="F37" i="39" l="1"/>
  <c r="B37" i="39"/>
  <c r="G37" i="39"/>
  <c r="H37" i="39"/>
  <c r="I37" i="39" s="1"/>
  <c r="E54" i="28"/>
  <c r="F54" i="28"/>
  <c r="D55" i="28" s="1"/>
  <c r="H53" i="28"/>
  <c r="G53" i="28"/>
  <c r="E125" i="27"/>
  <c r="F125" i="27" s="1"/>
  <c r="H125" i="27" s="1"/>
  <c r="E125" i="21"/>
  <c r="F125" i="21" s="1"/>
  <c r="H125" i="21" s="1"/>
  <c r="E125" i="24"/>
  <c r="B128" i="4"/>
  <c r="E127" i="18"/>
  <c r="F127" i="18" s="1"/>
  <c r="H127" i="18" s="1"/>
  <c r="G120" i="39"/>
  <c r="D121" i="39"/>
  <c r="E121" i="39"/>
  <c r="B43" i="24"/>
  <c r="F43" i="24"/>
  <c r="H43" i="24" s="1"/>
  <c r="I120" i="35"/>
  <c r="J120" i="35" s="1"/>
  <c r="H120" i="13"/>
  <c r="I120" i="13"/>
  <c r="E121" i="13"/>
  <c r="F121" i="13" s="1"/>
  <c r="B121" i="13"/>
  <c r="G41" i="26"/>
  <c r="I41" i="26" s="1"/>
  <c r="J123" i="26"/>
  <c r="I42" i="28"/>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J124" i="28"/>
  <c r="I126" i="18"/>
  <c r="J126" i="19"/>
  <c r="I127" i="4"/>
  <c r="G123" i="25"/>
  <c r="D124" i="25"/>
  <c r="G121" i="31"/>
  <c r="D122" i="31"/>
  <c r="J120" i="31"/>
  <c r="I119" i="37"/>
  <c r="E120" i="37"/>
  <c r="F120" i="37" s="1"/>
  <c r="H120" i="37" s="1"/>
  <c r="B120" i="37"/>
  <c r="G121" i="35"/>
  <c r="D122" i="35"/>
  <c r="J122" i="25"/>
  <c r="J127" i="3"/>
  <c r="J128" i="23"/>
  <c r="G124" i="26"/>
  <c r="D125" i="26"/>
  <c r="I124" i="24"/>
  <c r="F121" i="34"/>
  <c r="H121" i="34" s="1"/>
  <c r="B121" i="34"/>
  <c r="I120" i="38"/>
  <c r="B121" i="38"/>
  <c r="B125" i="24"/>
  <c r="F125" i="24"/>
  <c r="H125" i="24" s="1"/>
  <c r="I120" i="34"/>
  <c r="E121" i="38"/>
  <c r="F121" i="38" s="1"/>
  <c r="H121" i="38" s="1"/>
  <c r="I124" i="21"/>
  <c r="B125" i="21"/>
  <c r="J125" i="29"/>
  <c r="D128" i="19"/>
  <c r="G127" i="19"/>
  <c r="I124" i="27"/>
  <c r="B125" i="27"/>
  <c r="D127" i="29"/>
  <c r="G126" i="29"/>
  <c r="D122" i="20"/>
  <c r="E122" i="20" s="1"/>
  <c r="G121" i="20"/>
  <c r="D125" i="22"/>
  <c r="G124" i="22"/>
  <c r="D129" i="3"/>
  <c r="G128" i="3"/>
  <c r="D130" i="23"/>
  <c r="G129" i="23"/>
  <c r="J120" i="20"/>
  <c r="J123" i="22"/>
  <c r="H54" i="28" l="1"/>
  <c r="G54" i="28"/>
  <c r="E38" i="39"/>
  <c r="D38" i="39"/>
  <c r="E55" i="28"/>
  <c r="F55" i="28" s="1"/>
  <c r="H55" i="28" s="1"/>
  <c r="E128" i="19"/>
  <c r="E125" i="22"/>
  <c r="H128" i="4"/>
  <c r="E127" i="29"/>
  <c r="I120" i="39"/>
  <c r="B121" i="39"/>
  <c r="F121" i="39"/>
  <c r="H121" i="39" s="1"/>
  <c r="G46" i="4"/>
  <c r="J120" i="13"/>
  <c r="G43" i="24"/>
  <c r="I43" i="24" s="1"/>
  <c r="D44" i="24"/>
  <c r="E44" i="24"/>
  <c r="H45" i="18"/>
  <c r="I45" i="18" s="1"/>
  <c r="G121" i="13"/>
  <c r="D122" i="13"/>
  <c r="D129" i="4"/>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I46" i="4"/>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E129" i="4"/>
  <c r="J120" i="34"/>
  <c r="J120" i="38"/>
  <c r="I128" i="4"/>
  <c r="J127" i="4"/>
  <c r="G127" i="18"/>
  <c r="D128" i="18"/>
  <c r="J124" i="24"/>
  <c r="E122" i="35"/>
  <c r="F122" i="35" s="1"/>
  <c r="H122" i="35" s="1"/>
  <c r="B122" i="35"/>
  <c r="E122" i="31"/>
  <c r="F122" i="31" s="1"/>
  <c r="H122" i="31" s="1"/>
  <c r="B122" i="31"/>
  <c r="I121" i="35"/>
  <c r="I121" i="31"/>
  <c r="B124" i="25"/>
  <c r="E125" i="26"/>
  <c r="F125" i="26" s="1"/>
  <c r="H125" i="26" s="1"/>
  <c r="B125" i="26"/>
  <c r="G120" i="37"/>
  <c r="D121" i="37"/>
  <c r="I123" i="25"/>
  <c r="I124" i="26"/>
  <c r="E124" i="25"/>
  <c r="F124" i="25" s="1"/>
  <c r="H124" i="25" s="1"/>
  <c r="J119" i="37"/>
  <c r="B126" i="28"/>
  <c r="I127" i="19"/>
  <c r="J124" i="21"/>
  <c r="B128" i="19"/>
  <c r="F128" i="19"/>
  <c r="H128" i="19" s="1"/>
  <c r="G121" i="38"/>
  <c r="D122" i="38"/>
  <c r="F127" i="29"/>
  <c r="H127" i="29" s="1"/>
  <c r="D126" i="24"/>
  <c r="G125" i="24"/>
  <c r="G125" i="27"/>
  <c r="D126" i="27"/>
  <c r="I126" i="29"/>
  <c r="D126" i="21"/>
  <c r="G125" i="21"/>
  <c r="D122" i="34"/>
  <c r="G121" i="34"/>
  <c r="I128" i="3"/>
  <c r="B129" i="3"/>
  <c r="I124" i="22"/>
  <c r="E129" i="3"/>
  <c r="F129" i="3" s="1"/>
  <c r="H129" i="3" s="1"/>
  <c r="E130" i="23"/>
  <c r="F130" i="23" s="1"/>
  <c r="H130" i="23" s="1"/>
  <c r="F125" i="22"/>
  <c r="H125" i="22" s="1"/>
  <c r="B125" i="22"/>
  <c r="H121" i="20"/>
  <c r="I121" i="20"/>
  <c r="I129" i="23"/>
  <c r="F122" i="20"/>
  <c r="B122" i="20"/>
  <c r="F38" i="39" l="1"/>
  <c r="B38" i="39"/>
  <c r="G38" i="39"/>
  <c r="G55" i="28"/>
  <c r="D56" i="28"/>
  <c r="E56" i="28"/>
  <c r="E126" i="27"/>
  <c r="B129" i="4"/>
  <c r="B121" i="37"/>
  <c r="E122" i="38"/>
  <c r="F122" i="38" s="1"/>
  <c r="H122" i="38" s="1"/>
  <c r="E122" i="34"/>
  <c r="F122" i="34" s="1"/>
  <c r="H122" i="34" s="1"/>
  <c r="J120" i="39"/>
  <c r="G121" i="39"/>
  <c r="D122" i="39"/>
  <c r="E122" i="39"/>
  <c r="F44" i="24"/>
  <c r="G44" i="24" s="1"/>
  <c r="B44" i="24"/>
  <c r="F129" i="4"/>
  <c r="D130" i="4" s="1"/>
  <c r="E122" i="13"/>
  <c r="F122" i="13" s="1"/>
  <c r="B122" i="13"/>
  <c r="I121" i="13"/>
  <c r="H121" i="13"/>
  <c r="J127" i="19"/>
  <c r="J128" i="3"/>
  <c r="I43" i="28"/>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J121" i="35"/>
  <c r="E128" i="18"/>
  <c r="F128" i="18" s="1"/>
  <c r="H128" i="18" s="1"/>
  <c r="B128" i="18"/>
  <c r="G124" i="25"/>
  <c r="D125" i="25"/>
  <c r="J124" i="22"/>
  <c r="I120" i="37"/>
  <c r="D123" i="31"/>
  <c r="G122" i="31"/>
  <c r="G125" i="26"/>
  <c r="D126" i="26"/>
  <c r="J124" i="26"/>
  <c r="J123" i="25"/>
  <c r="D123" i="35"/>
  <c r="G122" i="35"/>
  <c r="E121" i="37"/>
  <c r="F121" i="37" s="1"/>
  <c r="H121" i="37" s="1"/>
  <c r="J121" i="31"/>
  <c r="J129" i="23"/>
  <c r="I125" i="21"/>
  <c r="B126" i="21"/>
  <c r="D129" i="19"/>
  <c r="G128" i="19"/>
  <c r="B126" i="24"/>
  <c r="B126" i="27"/>
  <c r="F126" i="27"/>
  <c r="H126" i="27" s="1"/>
  <c r="I121" i="38"/>
  <c r="B122" i="38"/>
  <c r="I125" i="27"/>
  <c r="I121" i="34"/>
  <c r="B122" i="34"/>
  <c r="E126" i="24"/>
  <c r="F126" i="24" s="1"/>
  <c r="H126" i="24" s="1"/>
  <c r="E126" i="21"/>
  <c r="F126" i="21" s="1"/>
  <c r="H126" i="21" s="1"/>
  <c r="J126" i="29"/>
  <c r="I125" i="24"/>
  <c r="D128" i="29"/>
  <c r="G127" i="29"/>
  <c r="G130" i="23"/>
  <c r="D131" i="23"/>
  <c r="G129" i="3"/>
  <c r="D130" i="3"/>
  <c r="G125" i="22"/>
  <c r="D126" i="22"/>
  <c r="D123" i="20"/>
  <c r="G122" i="20"/>
  <c r="J121" i="20"/>
  <c r="H38" i="39" l="1"/>
  <c r="I38" i="39" s="1"/>
  <c r="E39" i="39"/>
  <c r="D39" i="39"/>
  <c r="F56" i="28"/>
  <c r="G56" i="28" s="1"/>
  <c r="E129" i="19"/>
  <c r="H129" i="4"/>
  <c r="E126" i="22"/>
  <c r="F126" i="22" s="1"/>
  <c r="H126" i="22" s="1"/>
  <c r="E130" i="3"/>
  <c r="E123" i="35"/>
  <c r="F123" i="35" s="1"/>
  <c r="H123" i="35" s="1"/>
  <c r="E128" i="29"/>
  <c r="F128" i="29" s="1"/>
  <c r="H128" i="29" s="1"/>
  <c r="B122" i="39"/>
  <c r="F122" i="39"/>
  <c r="H122" i="39" s="1"/>
  <c r="I121" i="39"/>
  <c r="G129" i="4"/>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H130" i="4" s="1"/>
  <c r="I125" i="26"/>
  <c r="B123" i="35"/>
  <c r="I122" i="31"/>
  <c r="E123" i="31"/>
  <c r="F123" i="31" s="1"/>
  <c r="H123" i="31" s="1"/>
  <c r="B123" i="31"/>
  <c r="B127" i="28"/>
  <c r="J120" i="37"/>
  <c r="G121" i="37"/>
  <c r="D122" i="37"/>
  <c r="B126" i="26"/>
  <c r="E125" i="25"/>
  <c r="F125" i="25" s="1"/>
  <c r="H125" i="25" s="1"/>
  <c r="B125" i="25"/>
  <c r="I122" i="35"/>
  <c r="E126" i="26"/>
  <c r="F126" i="26" s="1"/>
  <c r="H126" i="26" s="1"/>
  <c r="I124" i="25"/>
  <c r="D127" i="21"/>
  <c r="G126" i="21"/>
  <c r="D127" i="24"/>
  <c r="G126" i="24"/>
  <c r="J125" i="21"/>
  <c r="F129" i="19"/>
  <c r="H129" i="19" s="1"/>
  <c r="B129" i="19"/>
  <c r="D127" i="27"/>
  <c r="G126" i="27"/>
  <c r="I127" i="29"/>
  <c r="J125" i="27"/>
  <c r="I128" i="19"/>
  <c r="J125" i="24"/>
  <c r="D123" i="34"/>
  <c r="G122" i="34"/>
  <c r="G122" i="38"/>
  <c r="D123" i="38"/>
  <c r="I122" i="20"/>
  <c r="H122" i="20"/>
  <c r="B123" i="20"/>
  <c r="I129" i="3"/>
  <c r="B130" i="3"/>
  <c r="F130" i="3"/>
  <c r="H130" i="3" s="1"/>
  <c r="B126" i="22"/>
  <c r="I125" i="22"/>
  <c r="I130" i="23"/>
  <c r="E123" i="20"/>
  <c r="F123" i="20" s="1"/>
  <c r="E131" i="23"/>
  <c r="F131" i="23" s="1"/>
  <c r="H131" i="23" s="1"/>
  <c r="H56" i="28" l="1"/>
  <c r="B39" i="39"/>
  <c r="F39" i="39"/>
  <c r="G39" i="39"/>
  <c r="D57" i="28"/>
  <c r="E57" i="28" s="1"/>
  <c r="F57" i="28" s="1"/>
  <c r="E127" i="27"/>
  <c r="E127" i="24"/>
  <c r="E127" i="21"/>
  <c r="F127" i="21" s="1"/>
  <c r="H127" i="21" s="1"/>
  <c r="B122" i="37"/>
  <c r="E123" i="38"/>
  <c r="F123" i="38" s="1"/>
  <c r="H123" i="38" s="1"/>
  <c r="E123" i="34"/>
  <c r="F123" i="34" s="1"/>
  <c r="H123" i="34" s="1"/>
  <c r="J121" i="39"/>
  <c r="G122" i="39"/>
  <c r="D123" i="39"/>
  <c r="E123" i="39"/>
  <c r="J129" i="4"/>
  <c r="J126"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D44" i="26"/>
  <c r="E44" i="26"/>
  <c r="F45" i="21"/>
  <c r="H45" i="21" s="1"/>
  <c r="B45" i="21"/>
  <c r="D41" i="35"/>
  <c r="E41" i="35"/>
  <c r="D39" i="38"/>
  <c r="E39" i="38"/>
  <c r="G44" i="27"/>
  <c r="I44" i="27" s="1"/>
  <c r="B47" i="19"/>
  <c r="F47" i="19"/>
  <c r="H47" i="19" s="1"/>
  <c r="B44" i="22"/>
  <c r="F44" i="22"/>
  <c r="D131" i="4"/>
  <c r="G130" i="4"/>
  <c r="E129" i="18"/>
  <c r="F129" i="18" s="1"/>
  <c r="H129" i="18" s="1"/>
  <c r="B129" i="18"/>
  <c r="I128" i="18"/>
  <c r="J130" i="23"/>
  <c r="J124" i="25"/>
  <c r="G123" i="31"/>
  <c r="D124" i="31"/>
  <c r="E124" i="31"/>
  <c r="J129" i="3"/>
  <c r="I121" i="37"/>
  <c r="G125" i="25"/>
  <c r="D126" i="25"/>
  <c r="J122" i="31"/>
  <c r="G123" i="35"/>
  <c r="D124" i="35"/>
  <c r="G126" i="26"/>
  <c r="D127" i="26"/>
  <c r="J125" i="26"/>
  <c r="J122" i="35"/>
  <c r="J125" i="22"/>
  <c r="I122" i="34"/>
  <c r="J127" i="29"/>
  <c r="I126" i="27"/>
  <c r="B127" i="27"/>
  <c r="F127" i="27"/>
  <c r="H127" i="27" s="1"/>
  <c r="I126" i="24"/>
  <c r="G129" i="19"/>
  <c r="D130" i="19"/>
  <c r="B127" i="24"/>
  <c r="F127" i="24"/>
  <c r="H127" i="24" s="1"/>
  <c r="B123" i="34"/>
  <c r="B123" i="38"/>
  <c r="I126" i="21"/>
  <c r="G128" i="29"/>
  <c r="D129" i="29"/>
  <c r="I122" i="38"/>
  <c r="J128" i="19"/>
  <c r="B127" i="21"/>
  <c r="G123" i="20"/>
  <c r="D124" i="20"/>
  <c r="E124" i="20" s="1"/>
  <c r="G126" i="22"/>
  <c r="D127" i="22"/>
  <c r="D132" i="23"/>
  <c r="G131" i="23"/>
  <c r="D131" i="3"/>
  <c r="G130" i="3"/>
  <c r="J122" i="20"/>
  <c r="H39" i="39" l="1"/>
  <c r="I39" i="39" s="1"/>
  <c r="D40" i="39"/>
  <c r="E40" i="39"/>
  <c r="D58" i="28"/>
  <c r="E58" i="28" s="1"/>
  <c r="H57" i="28"/>
  <c r="G57" i="28"/>
  <c r="B127" i="26"/>
  <c r="E130" i="19"/>
  <c r="F130" i="19" s="1"/>
  <c r="H130" i="19" s="1"/>
  <c r="E131" i="3"/>
  <c r="E131" i="4"/>
  <c r="F131" i="4" s="1"/>
  <c r="H131" i="4" s="1"/>
  <c r="E127" i="22"/>
  <c r="F127" i="22" s="1"/>
  <c r="H127" i="22" s="1"/>
  <c r="E123" i="37"/>
  <c r="F123" i="37" s="1"/>
  <c r="H123" i="37" s="1"/>
  <c r="H122" i="37"/>
  <c r="E124" i="35"/>
  <c r="F124" i="35" s="1"/>
  <c r="H124" i="35" s="1"/>
  <c r="E129" i="29"/>
  <c r="F129" i="29" s="1"/>
  <c r="H129" i="29" s="1"/>
  <c r="F123" i="39"/>
  <c r="H123" i="39" s="1"/>
  <c r="B123" i="39"/>
  <c r="I122" i="39"/>
  <c r="G122" i="37"/>
  <c r="I122" i="37" s="1"/>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B45" i="28"/>
  <c r="D46" i="21"/>
  <c r="E46" i="21"/>
  <c r="D48" i="18"/>
  <c r="E48" i="18"/>
  <c r="B43" i="13"/>
  <c r="F45" i="27"/>
  <c r="B45" i="27"/>
  <c r="E43" i="13"/>
  <c r="F43" i="13" s="1"/>
  <c r="E127" i="26"/>
  <c r="F127" i="26" s="1"/>
  <c r="H127" i="26" s="1"/>
  <c r="G47" i="19"/>
  <c r="I47" i="19" s="1"/>
  <c r="B39" i="38"/>
  <c r="F39" i="38"/>
  <c r="H39" i="38" s="1"/>
  <c r="B44" i="26"/>
  <c r="F44" i="26"/>
  <c r="G44" i="26" s="1"/>
  <c r="B41" i="31"/>
  <c r="F41" i="31"/>
  <c r="G129" i="18"/>
  <c r="D130" i="18"/>
  <c r="I130" i="4"/>
  <c r="J122" i="38"/>
  <c r="B131" i="4"/>
  <c r="I126" i="26"/>
  <c r="E126" i="25"/>
  <c r="F126" i="25" s="1"/>
  <c r="H126" i="25" s="1"/>
  <c r="B126" i="25"/>
  <c r="I125" i="25"/>
  <c r="B124" i="35"/>
  <c r="J126" i="21"/>
  <c r="I123" i="35"/>
  <c r="J121" i="37"/>
  <c r="B123" i="37"/>
  <c r="B128" i="28"/>
  <c r="B124" i="31"/>
  <c r="F124" i="31"/>
  <c r="H124" i="31" s="1"/>
  <c r="I123" i="31"/>
  <c r="J126" i="27"/>
  <c r="D124" i="34"/>
  <c r="G123" i="34"/>
  <c r="G127" i="24"/>
  <c r="D128" i="24"/>
  <c r="D124" i="38"/>
  <c r="G123" i="38"/>
  <c r="J122" i="34"/>
  <c r="I128" i="29"/>
  <c r="B130" i="19"/>
  <c r="J126" i="24"/>
  <c r="I129" i="19"/>
  <c r="D128" i="27"/>
  <c r="G127" i="27"/>
  <c r="G127" i="21"/>
  <c r="D128" i="21"/>
  <c r="I126" i="22"/>
  <c r="I131" i="23"/>
  <c r="B127" i="22"/>
  <c r="B124" i="20"/>
  <c r="F124" i="20"/>
  <c r="I130" i="3"/>
  <c r="B131" i="3"/>
  <c r="F131" i="3"/>
  <c r="H131" i="3" s="1"/>
  <c r="E132" i="23"/>
  <c r="F132" i="23" s="1"/>
  <c r="H132" i="23" s="1"/>
  <c r="H123" i="20"/>
  <c r="I123" i="20"/>
  <c r="F40" i="39" l="1"/>
  <c r="B40" i="39"/>
  <c r="H40" i="39"/>
  <c r="F58" i="28"/>
  <c r="G58" i="28" s="1"/>
  <c r="E128" i="27"/>
  <c r="F128" i="27" s="1"/>
  <c r="H128" i="27" s="1"/>
  <c r="E128" i="24"/>
  <c r="F128" i="24" s="1"/>
  <c r="H128" i="24" s="1"/>
  <c r="E128" i="21"/>
  <c r="F128" i="21" s="1"/>
  <c r="H128" i="21" s="1"/>
  <c r="B130" i="18"/>
  <c r="E124" i="38"/>
  <c r="F124" i="38" s="1"/>
  <c r="H124" i="38" s="1"/>
  <c r="E124" i="34"/>
  <c r="J122" i="39"/>
  <c r="E124" i="39"/>
  <c r="D124" i="39"/>
  <c r="G123" i="39"/>
  <c r="B46" i="24"/>
  <c r="F46" i="24"/>
  <c r="H46" i="24" s="1"/>
  <c r="H123" i="13"/>
  <c r="I123" i="13"/>
  <c r="J123" i="13" s="1"/>
  <c r="E124" i="13"/>
  <c r="F124" i="13" s="1"/>
  <c r="B124" i="13"/>
  <c r="J130" i="4"/>
  <c r="I45" i="28"/>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B48" i="18"/>
  <c r="F48" i="18"/>
  <c r="H42" i="29"/>
  <c r="J130" i="3"/>
  <c r="J123" i="35"/>
  <c r="G41" i="31"/>
  <c r="D42" i="34"/>
  <c r="E42" i="34"/>
  <c r="I49" i="3"/>
  <c r="H45" i="23"/>
  <c r="I45" i="23" s="1"/>
  <c r="G41" i="35"/>
  <c r="J125" i="25"/>
  <c r="D132" i="4"/>
  <c r="G131" i="4"/>
  <c r="J122" i="37"/>
  <c r="I129" i="18"/>
  <c r="G124" i="31"/>
  <c r="D125" i="31"/>
  <c r="D127" i="25"/>
  <c r="G126" i="25"/>
  <c r="G123" i="37"/>
  <c r="D124" i="37"/>
  <c r="D125" i="35"/>
  <c r="G124" i="35"/>
  <c r="J126" i="26"/>
  <c r="J129" i="19"/>
  <c r="J128" i="29"/>
  <c r="I123" i="34"/>
  <c r="I123" i="38"/>
  <c r="F124" i="34"/>
  <c r="H124" i="34" s="1"/>
  <c r="B124" i="34"/>
  <c r="B124" i="38"/>
  <c r="I127" i="27"/>
  <c r="G129" i="29"/>
  <c r="D130" i="29"/>
  <c r="B128" i="21"/>
  <c r="B128" i="27"/>
  <c r="G130" i="19"/>
  <c r="D131" i="19"/>
  <c r="B128" i="24"/>
  <c r="J131" i="23"/>
  <c r="I127" i="21"/>
  <c r="I127" i="24"/>
  <c r="G131" i="3"/>
  <c r="D132" i="3"/>
  <c r="J123" i="20"/>
  <c r="G132" i="23"/>
  <c r="D133" i="23"/>
  <c r="D128" i="22"/>
  <c r="G127" i="22"/>
  <c r="D125" i="20"/>
  <c r="E125" i="20" s="1"/>
  <c r="G124" i="20"/>
  <c r="J126" i="22"/>
  <c r="I45" i="27" l="1"/>
  <c r="H58" i="28"/>
  <c r="G40" i="39"/>
  <c r="I40" i="39" s="1"/>
  <c r="D41" i="39"/>
  <c r="E41" i="39"/>
  <c r="D59" i="28"/>
  <c r="E59" i="28" s="1"/>
  <c r="E127" i="25"/>
  <c r="F127" i="25" s="1"/>
  <c r="H127" i="25" s="1"/>
  <c r="E133" i="23"/>
  <c r="H130" i="18"/>
  <c r="B124" i="39"/>
  <c r="F124" i="39"/>
  <c r="H124" i="39" s="1"/>
  <c r="I123" i="39"/>
  <c r="J123" i="39" s="1"/>
  <c r="G46" i="24"/>
  <c r="I46" i="24" s="1"/>
  <c r="E47" i="24"/>
  <c r="D47" i="24"/>
  <c r="D131" i="18"/>
  <c r="G124" i="13"/>
  <c r="D125" i="13"/>
  <c r="B125" i="13" s="1"/>
  <c r="I41" i="35"/>
  <c r="G45" i="22"/>
  <c r="I45" i="22" s="1"/>
  <c r="I63" i="20"/>
  <c r="D49" i="18"/>
  <c r="E49" i="18"/>
  <c r="B44" i="25"/>
  <c r="F44" i="25"/>
  <c r="G44" i="25" s="1"/>
  <c r="B42" i="31"/>
  <c r="F42" i="31"/>
  <c r="B46" i="28"/>
  <c r="I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H128" i="26" s="1"/>
  <c r="B44" i="13"/>
  <c r="F44" i="13"/>
  <c r="G44" i="13" s="1"/>
  <c r="I130" i="18"/>
  <c r="E131" i="18"/>
  <c r="J129" i="18"/>
  <c r="J127" i="21"/>
  <c r="I131" i="4"/>
  <c r="E132" i="4"/>
  <c r="F132" i="4" s="1"/>
  <c r="H132" i="4" s="1"/>
  <c r="B132" i="4"/>
  <c r="I126" i="25"/>
  <c r="B127" i="25"/>
  <c r="I124" i="35"/>
  <c r="B129" i="28"/>
  <c r="E125" i="35"/>
  <c r="F125" i="35" s="1"/>
  <c r="H125" i="35" s="1"/>
  <c r="B125" i="35"/>
  <c r="E124" i="37"/>
  <c r="F124" i="37" s="1"/>
  <c r="H124" i="37" s="1"/>
  <c r="B124" i="37"/>
  <c r="E125" i="31"/>
  <c r="F125" i="31" s="1"/>
  <c r="H125" i="31" s="1"/>
  <c r="B125" i="31"/>
  <c r="J123" i="38"/>
  <c r="I123" i="37"/>
  <c r="I124" i="31"/>
  <c r="J127" i="27"/>
  <c r="I129" i="29"/>
  <c r="G128" i="21"/>
  <c r="D129" i="21"/>
  <c r="G124" i="34"/>
  <c r="D125" i="34"/>
  <c r="B131" i="19"/>
  <c r="I130" i="19"/>
  <c r="J127" i="24"/>
  <c r="E131" i="19"/>
  <c r="F131" i="19" s="1"/>
  <c r="H131" i="19" s="1"/>
  <c r="D125" i="38"/>
  <c r="G124" i="38"/>
  <c r="J123" i="34"/>
  <c r="D129" i="24"/>
  <c r="G128" i="24"/>
  <c r="G128" i="27"/>
  <c r="D129" i="27"/>
  <c r="E130" i="29"/>
  <c r="F130" i="29" s="1"/>
  <c r="H130" i="29" s="1"/>
  <c r="B128" i="22"/>
  <c r="F133" i="23"/>
  <c r="H133" i="23" s="1"/>
  <c r="H124" i="20"/>
  <c r="I124" i="20"/>
  <c r="I132" i="23"/>
  <c r="B132" i="3"/>
  <c r="I127" i="22"/>
  <c r="E128" i="22"/>
  <c r="F128" i="22" s="1"/>
  <c r="H128" i="22" s="1"/>
  <c r="I131" i="3"/>
  <c r="F125" i="20"/>
  <c r="B125" i="20"/>
  <c r="E132" i="3"/>
  <c r="F132" i="3" s="1"/>
  <c r="H132" i="3" s="1"/>
  <c r="F41" i="39" l="1"/>
  <c r="B41" i="39"/>
  <c r="H41" i="39"/>
  <c r="F59" i="28"/>
  <c r="H59" i="28" s="1"/>
  <c r="E129" i="24"/>
  <c r="F129" i="24" s="1"/>
  <c r="H129" i="24" s="1"/>
  <c r="E129" i="21"/>
  <c r="E129" i="27"/>
  <c r="B131" i="18"/>
  <c r="E125" i="38"/>
  <c r="F125" i="38" s="1"/>
  <c r="H125" i="38" s="1"/>
  <c r="E125" i="34"/>
  <c r="E125" i="39"/>
  <c r="D125" i="39"/>
  <c r="G124" i="39"/>
  <c r="F131" i="18"/>
  <c r="G131" i="18" s="1"/>
  <c r="E125" i="13"/>
  <c r="F125" i="13" s="1"/>
  <c r="D126" i="13" s="1"/>
  <c r="E126" i="13" s="1"/>
  <c r="B47" i="24"/>
  <c r="F47" i="24"/>
  <c r="G47" i="24" s="1"/>
  <c r="G45" i="26"/>
  <c r="I45" i="26" s="1"/>
  <c r="G125" i="13"/>
  <c r="H125" i="13" s="1"/>
  <c r="J131" i="3"/>
  <c r="H124" i="13"/>
  <c r="I124" i="13"/>
  <c r="J127" i="26"/>
  <c r="J132" i="23"/>
  <c r="H44" i="13"/>
  <c r="I44" i="13" s="1"/>
  <c r="I64" i="20"/>
  <c r="I49" i="4"/>
  <c r="G40" i="38"/>
  <c r="I40" i="38" s="1"/>
  <c r="G42" i="34"/>
  <c r="I42" i="34" s="1"/>
  <c r="H46" i="23"/>
  <c r="I46" i="23" s="1"/>
  <c r="J130" i="18"/>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J124" i="35"/>
  <c r="J128" i="28"/>
  <c r="G127" i="25"/>
  <c r="D128" i="25"/>
  <c r="D126" i="35"/>
  <c r="G125" i="35"/>
  <c r="G125" i="31"/>
  <c r="D126" i="31"/>
  <c r="J126" i="25"/>
  <c r="J124" i="20"/>
  <c r="D131" i="29"/>
  <c r="G130" i="29"/>
  <c r="J129" i="29"/>
  <c r="F129" i="27"/>
  <c r="H129" i="27" s="1"/>
  <c r="B129" i="27"/>
  <c r="I128" i="27"/>
  <c r="I128" i="24"/>
  <c r="I124" i="38"/>
  <c r="I124" i="34"/>
  <c r="B129" i="24"/>
  <c r="B125" i="38"/>
  <c r="B129" i="21"/>
  <c r="F129" i="21"/>
  <c r="H129" i="21" s="1"/>
  <c r="D132" i="19"/>
  <c r="G131" i="19"/>
  <c r="B125" i="34"/>
  <c r="F125" i="34"/>
  <c r="H125" i="34" s="1"/>
  <c r="I128" i="21"/>
  <c r="G128" i="22"/>
  <c r="D129" i="22"/>
  <c r="D134" i="23"/>
  <c r="G133" i="23"/>
  <c r="J127" i="22"/>
  <c r="G125" i="20"/>
  <c r="D126" i="20"/>
  <c r="D133" i="3"/>
  <c r="G132" i="3"/>
  <c r="B126" i="13" l="1"/>
  <c r="G59" i="28"/>
  <c r="G41" i="39"/>
  <c r="I41" i="39" s="1"/>
  <c r="E42" i="39"/>
  <c r="D42" i="39"/>
  <c r="D60" i="28"/>
  <c r="E60" i="28" s="1"/>
  <c r="F60" i="28" s="1"/>
  <c r="B128" i="25"/>
  <c r="E132" i="19"/>
  <c r="E129" i="22"/>
  <c r="H131" i="18"/>
  <c r="E133" i="3"/>
  <c r="F133" i="3" s="1"/>
  <c r="H133" i="3" s="1"/>
  <c r="E126" i="35"/>
  <c r="F126" i="35" s="1"/>
  <c r="H126" i="35" s="1"/>
  <c r="E131" i="29"/>
  <c r="F131" i="29" s="1"/>
  <c r="H131" i="29" s="1"/>
  <c r="F126" i="13"/>
  <c r="D127" i="13" s="1"/>
  <c r="E127" i="13" s="1"/>
  <c r="I124" i="39"/>
  <c r="B125" i="39"/>
  <c r="F125" i="39"/>
  <c r="H125" i="39" s="1"/>
  <c r="D132" i="18"/>
  <c r="B132" i="18" s="1"/>
  <c r="I42" i="31"/>
  <c r="H47" i="24"/>
  <c r="I47" i="24" s="1"/>
  <c r="I125" i="13"/>
  <c r="J125" i="13" s="1"/>
  <c r="D48" i="24"/>
  <c r="E48" i="24"/>
  <c r="J124" i="13"/>
  <c r="J128" i="27"/>
  <c r="H50" i="4"/>
  <c r="I50" i="4" s="1"/>
  <c r="I65" i="20"/>
  <c r="G46" i="22"/>
  <c r="I46" i="22" s="1"/>
  <c r="I46" i="27"/>
  <c r="F47" i="23"/>
  <c r="H47" i="23" s="1"/>
  <c r="B47" i="23"/>
  <c r="B46" i="26"/>
  <c r="F46" i="26"/>
  <c r="D50" i="19"/>
  <c r="E50" i="19" s="1"/>
  <c r="B42" i="37"/>
  <c r="F42" i="37"/>
  <c r="G42" i="37" s="1"/>
  <c r="G49" i="18"/>
  <c r="I49" i="18" s="1"/>
  <c r="B47" i="28"/>
  <c r="B43" i="34"/>
  <c r="F43" i="34"/>
  <c r="H43" i="34" s="1"/>
  <c r="D47" i="22"/>
  <c r="E47" i="22"/>
  <c r="B43" i="35"/>
  <c r="F43" i="35"/>
  <c r="H43" i="35" s="1"/>
  <c r="D48" i="21"/>
  <c r="E48" i="21"/>
  <c r="I128" i="26"/>
  <c r="F44" i="29"/>
  <c r="D50" i="18"/>
  <c r="E50" i="18" s="1"/>
  <c r="B41" i="38"/>
  <c r="F41" i="38"/>
  <c r="B45" i="25"/>
  <c r="F45" i="25"/>
  <c r="E129" i="26"/>
  <c r="F129" i="26" s="1"/>
  <c r="H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3" i="4" s="1"/>
  <c r="I132" i="4"/>
  <c r="I131" i="18"/>
  <c r="I127" i="25"/>
  <c r="E126" i="31"/>
  <c r="F126" i="31" s="1"/>
  <c r="H126" i="31" s="1"/>
  <c r="B126" i="31"/>
  <c r="I125" i="31"/>
  <c r="I125" i="35"/>
  <c r="B130" i="28"/>
  <c r="B126" i="35"/>
  <c r="B125" i="37"/>
  <c r="E125" i="37"/>
  <c r="F125" i="37" s="1"/>
  <c r="H125" i="37" s="1"/>
  <c r="I124" i="37"/>
  <c r="J124" i="34"/>
  <c r="J124" i="38"/>
  <c r="J128" i="21"/>
  <c r="D130" i="21"/>
  <c r="G129" i="21"/>
  <c r="I131" i="19"/>
  <c r="G125" i="38"/>
  <c r="D126" i="38"/>
  <c r="D130" i="24"/>
  <c r="G129" i="24"/>
  <c r="G129" i="27"/>
  <c r="D130" i="27"/>
  <c r="F132" i="19"/>
  <c r="H132" i="19" s="1"/>
  <c r="B132" i="19"/>
  <c r="I130" i="29"/>
  <c r="G125" i="34"/>
  <c r="D126" i="34"/>
  <c r="J128" i="24"/>
  <c r="B129" i="22"/>
  <c r="F129" i="22"/>
  <c r="H129" i="22" s="1"/>
  <c r="H125" i="20"/>
  <c r="I125" i="20"/>
  <c r="I128" i="22"/>
  <c r="B126" i="20"/>
  <c r="E134" i="23"/>
  <c r="F134" i="23" s="1"/>
  <c r="H134" i="23" s="1"/>
  <c r="I132" i="3"/>
  <c r="E126" i="20"/>
  <c r="F126" i="20" s="1"/>
  <c r="B133" i="3"/>
  <c r="I133" i="23"/>
  <c r="B42" i="39" l="1"/>
  <c r="F42" i="39"/>
  <c r="G42" i="39"/>
  <c r="H42" i="39"/>
  <c r="I42" i="39" s="1"/>
  <c r="G126" i="13"/>
  <c r="D61" i="28"/>
  <c r="E61" i="28"/>
  <c r="F61" i="28" s="1"/>
  <c r="D62" i="28" s="1"/>
  <c r="G60" i="28"/>
  <c r="H60" i="28"/>
  <c r="E130" i="24"/>
  <c r="E130" i="27"/>
  <c r="F130" i="27" s="1"/>
  <c r="H130" i="27" s="1"/>
  <c r="E130" i="21"/>
  <c r="F130" i="21" s="1"/>
  <c r="H130" i="21" s="1"/>
  <c r="H128" i="25"/>
  <c r="E132" i="18"/>
  <c r="F132" i="18" s="1"/>
  <c r="E126" i="38"/>
  <c r="F126" i="38" s="1"/>
  <c r="H126" i="38" s="1"/>
  <c r="E126" i="34"/>
  <c r="F126" i="34" s="1"/>
  <c r="H126" i="34" s="1"/>
  <c r="J124" i="39"/>
  <c r="D129" i="25"/>
  <c r="G125" i="39"/>
  <c r="D126" i="39"/>
  <c r="E126" i="39"/>
  <c r="F48" i="24"/>
  <c r="G48" i="24" s="1"/>
  <c r="B48" i="24"/>
  <c r="G47" i="23"/>
  <c r="I47" i="23" s="1"/>
  <c r="G43" i="34"/>
  <c r="I43" i="34" s="1"/>
  <c r="I47" i="28"/>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4" i="4"/>
  <c r="G133" i="4"/>
  <c r="J133" i="23"/>
  <c r="D126" i="37"/>
  <c r="G125" i="37"/>
  <c r="J130" i="29"/>
  <c r="G126" i="35"/>
  <c r="D127" i="35"/>
  <c r="J125" i="20"/>
  <c r="J124" i="37"/>
  <c r="E129" i="25"/>
  <c r="G126" i="31"/>
  <c r="D127" i="31"/>
  <c r="I128" i="25"/>
  <c r="J129" i="28"/>
  <c r="J125" i="35"/>
  <c r="J127" i="25"/>
  <c r="B130" i="27"/>
  <c r="I129" i="27"/>
  <c r="B126" i="34"/>
  <c r="I125" i="38"/>
  <c r="D132" i="29"/>
  <c r="G131" i="29"/>
  <c r="I125" i="34"/>
  <c r="I129" i="24"/>
  <c r="J128" i="22"/>
  <c r="D133" i="19"/>
  <c r="G132" i="19"/>
  <c r="B130" i="24"/>
  <c r="F130" i="24"/>
  <c r="H130" i="24" s="1"/>
  <c r="I129" i="21"/>
  <c r="B127" i="13"/>
  <c r="F127" i="13"/>
  <c r="B130" i="21"/>
  <c r="H126" i="13"/>
  <c r="I126" i="13"/>
  <c r="B126" i="38"/>
  <c r="G126" i="20"/>
  <c r="D127" i="20"/>
  <c r="E127" i="20" s="1"/>
  <c r="D135" i="23"/>
  <c r="G134" i="23"/>
  <c r="G133" i="3"/>
  <c r="D134" i="3"/>
  <c r="D130" i="22"/>
  <c r="G129" i="22"/>
  <c r="J132" i="3"/>
  <c r="D43" i="39" l="1"/>
  <c r="E43" i="39"/>
  <c r="E62" i="28"/>
  <c r="F62" i="28"/>
  <c r="H62" i="28" s="1"/>
  <c r="H61" i="28"/>
  <c r="G61" i="28"/>
  <c r="B129" i="25"/>
  <c r="E133" i="19"/>
  <c r="F133" i="19" s="1"/>
  <c r="H133" i="19" s="1"/>
  <c r="F129" i="25"/>
  <c r="H129" i="25" s="1"/>
  <c r="G132" i="18"/>
  <c r="H132" i="18"/>
  <c r="D133" i="18"/>
  <c r="B133" i="18" s="1"/>
  <c r="E135" i="23"/>
  <c r="F135" i="23" s="1"/>
  <c r="H135" i="23" s="1"/>
  <c r="E126" i="37"/>
  <c r="I125" i="39"/>
  <c r="B126" i="39"/>
  <c r="F126" i="39"/>
  <c r="H126" i="39" s="1"/>
  <c r="H48" i="24"/>
  <c r="I48" i="24" s="1"/>
  <c r="D49" i="24"/>
  <c r="E49" i="24"/>
  <c r="J125" i="34"/>
  <c r="H50" i="19"/>
  <c r="I50" i="19" s="1"/>
  <c r="I41" i="38"/>
  <c r="I46" i="26"/>
  <c r="F48" i="23"/>
  <c r="G48" i="23" s="1"/>
  <c r="B48" i="23"/>
  <c r="D49" i="21"/>
  <c r="E49" i="21"/>
  <c r="I129" i="26"/>
  <c r="D52" i="4"/>
  <c r="E52" i="4" s="1"/>
  <c r="I45" i="25"/>
  <c r="E130" i="26"/>
  <c r="F130" i="26" s="1"/>
  <c r="H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H51" i="4"/>
  <c r="E69" i="20"/>
  <c r="F69" i="20" s="1"/>
  <c r="G68" i="20"/>
  <c r="H68" i="20"/>
  <c r="B69" i="20"/>
  <c r="J125" i="38"/>
  <c r="D51" i="18"/>
  <c r="E51" i="18" s="1"/>
  <c r="G48" i="21"/>
  <c r="G51" i="4"/>
  <c r="I67" i="20"/>
  <c r="F42" i="38"/>
  <c r="G42" i="38" s="1"/>
  <c r="B42" i="38"/>
  <c r="E134" i="4"/>
  <c r="F134" i="4" s="1"/>
  <c r="H134" i="4" s="1"/>
  <c r="B134" i="4"/>
  <c r="I132" i="18"/>
  <c r="I133" i="4"/>
  <c r="E127" i="31"/>
  <c r="F127" i="31" s="1"/>
  <c r="H127" i="31" s="1"/>
  <c r="B127" i="31"/>
  <c r="I126" i="35"/>
  <c r="I126" i="31"/>
  <c r="D130" i="25"/>
  <c r="G129" i="25"/>
  <c r="I125" i="37"/>
  <c r="F126" i="37"/>
  <c r="H126" i="37" s="1"/>
  <c r="B126" i="37"/>
  <c r="J128" i="25"/>
  <c r="E127" i="35"/>
  <c r="F127" i="35" s="1"/>
  <c r="H127" i="35" s="1"/>
  <c r="B127" i="35"/>
  <c r="B131" i="28"/>
  <c r="J129" i="24"/>
  <c r="J129" i="27"/>
  <c r="G127" i="13"/>
  <c r="D128" i="13"/>
  <c r="E128" i="13" s="1"/>
  <c r="I132" i="19"/>
  <c r="B133" i="19"/>
  <c r="D127" i="34"/>
  <c r="G126" i="34"/>
  <c r="D131" i="21"/>
  <c r="G130" i="21"/>
  <c r="J129" i="21"/>
  <c r="D127" i="38"/>
  <c r="G126" i="38"/>
  <c r="E132" i="29"/>
  <c r="F132" i="29" s="1"/>
  <c r="H132" i="29" s="1"/>
  <c r="J126" i="13"/>
  <c r="D131" i="24"/>
  <c r="G130" i="24"/>
  <c r="I131" i="29"/>
  <c r="G130" i="27"/>
  <c r="D131" i="27"/>
  <c r="I133" i="3"/>
  <c r="B134" i="3"/>
  <c r="I134" i="23"/>
  <c r="B130" i="22"/>
  <c r="I129" i="22"/>
  <c r="F127" i="20"/>
  <c r="B127" i="20"/>
  <c r="E130" i="22"/>
  <c r="F130" i="22" s="1"/>
  <c r="H130" i="22" s="1"/>
  <c r="E134" i="3"/>
  <c r="F134" i="3" s="1"/>
  <c r="H134" i="3" s="1"/>
  <c r="H126" i="20"/>
  <c r="I126" i="20"/>
  <c r="E133" i="18" l="1"/>
  <c r="B43" i="39"/>
  <c r="F43" i="39"/>
  <c r="G43" i="39" s="1"/>
  <c r="F133" i="18"/>
  <c r="G133" i="18" s="1"/>
  <c r="G62" i="28"/>
  <c r="D63" i="28"/>
  <c r="E131" i="24"/>
  <c r="F131" i="24" s="1"/>
  <c r="H131" i="24" s="1"/>
  <c r="H133" i="18"/>
  <c r="E127" i="38"/>
  <c r="F127" i="38" s="1"/>
  <c r="H127" i="38" s="1"/>
  <c r="J125" i="39"/>
  <c r="E127" i="39"/>
  <c r="G126" i="39"/>
  <c r="D127" i="39"/>
  <c r="F49" i="24"/>
  <c r="H49" i="24" s="1"/>
  <c r="B49" i="24"/>
  <c r="J126" i="35"/>
  <c r="J126" i="31"/>
  <c r="H44" i="31"/>
  <c r="I44" i="31" s="1"/>
  <c r="G45" i="29"/>
  <c r="I45" i="29" s="1"/>
  <c r="H44" i="35"/>
  <c r="I44" i="35" s="1"/>
  <c r="I68" i="20"/>
  <c r="I51" i="4"/>
  <c r="I48" i="28"/>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I52" i="3"/>
  <c r="H47" i="26"/>
  <c r="J132" i="19"/>
  <c r="G44" i="34"/>
  <c r="I44" i="34" s="1"/>
  <c r="D45" i="35"/>
  <c r="E45" i="35"/>
  <c r="D49" i="27"/>
  <c r="E49" i="27"/>
  <c r="G46" i="13"/>
  <c r="G47" i="26"/>
  <c r="D49" i="23"/>
  <c r="E49" i="23" s="1"/>
  <c r="I48" i="21"/>
  <c r="H48" i="27"/>
  <c r="I48" i="27" s="1"/>
  <c r="H46" i="13"/>
  <c r="J129" i="26"/>
  <c r="D134" i="18"/>
  <c r="G134" i="4"/>
  <c r="D135" i="4"/>
  <c r="J130" i="28"/>
  <c r="J133" i="4"/>
  <c r="D128" i="35"/>
  <c r="G127" i="35"/>
  <c r="I129" i="25"/>
  <c r="E130" i="25"/>
  <c r="F130" i="25" s="1"/>
  <c r="H130" i="25" s="1"/>
  <c r="B130" i="25"/>
  <c r="G126" i="37"/>
  <c r="D127" i="37"/>
  <c r="J125" i="37"/>
  <c r="D128" i="31"/>
  <c r="G127" i="31"/>
  <c r="G132" i="29"/>
  <c r="D133" i="29"/>
  <c r="B127" i="34"/>
  <c r="I127" i="13"/>
  <c r="H127" i="13"/>
  <c r="I126" i="34"/>
  <c r="B131" i="24"/>
  <c r="D134" i="19"/>
  <c r="G133" i="19"/>
  <c r="I130" i="24"/>
  <c r="B127" i="38"/>
  <c r="B131" i="21"/>
  <c r="B128" i="13"/>
  <c r="F128" i="13"/>
  <c r="B131" i="27"/>
  <c r="J131" i="29"/>
  <c r="J156" i="29" s="1"/>
  <c r="E131" i="21"/>
  <c r="F131" i="21" s="1"/>
  <c r="H131" i="21" s="1"/>
  <c r="E131" i="27"/>
  <c r="F131" i="27" s="1"/>
  <c r="H131" i="27" s="1"/>
  <c r="I126" i="38"/>
  <c r="I130" i="27"/>
  <c r="I130" i="21"/>
  <c r="E127" i="34"/>
  <c r="F127" i="34" s="1"/>
  <c r="H127" i="34" s="1"/>
  <c r="G130" i="22"/>
  <c r="D131" i="22"/>
  <c r="D135" i="3"/>
  <c r="G134" i="3"/>
  <c r="D136" i="23"/>
  <c r="G135" i="23"/>
  <c r="J134" i="23"/>
  <c r="J129" i="22"/>
  <c r="G127" i="20"/>
  <c r="D128" i="20"/>
  <c r="J126" i="20"/>
  <c r="H43" i="39" l="1"/>
  <c r="I43" i="39"/>
  <c r="E44" i="39"/>
  <c r="D44" i="39"/>
  <c r="E63" i="28"/>
  <c r="F63" i="28" s="1"/>
  <c r="E134" i="19"/>
  <c r="E136" i="23"/>
  <c r="F136" i="23" s="1"/>
  <c r="H136" i="23" s="1"/>
  <c r="E135" i="3"/>
  <c r="F135" i="3" s="1"/>
  <c r="H135" i="3" s="1"/>
  <c r="B128" i="35"/>
  <c r="E133" i="29"/>
  <c r="F127" i="39"/>
  <c r="H127" i="39" s="1"/>
  <c r="B127" i="39"/>
  <c r="I126" i="39"/>
  <c r="G49" i="24"/>
  <c r="I49" i="24" s="1"/>
  <c r="D50" i="24"/>
  <c r="J126" i="38"/>
  <c r="G53" i="3"/>
  <c r="I53" i="3" s="1"/>
  <c r="G49" i="21"/>
  <c r="I49" i="21" s="1"/>
  <c r="I69" i="20"/>
  <c r="H48" i="22"/>
  <c r="I48" i="22" s="1"/>
  <c r="B43" i="38"/>
  <c r="F43" i="38"/>
  <c r="G43" i="38" s="1"/>
  <c r="B45" i="34"/>
  <c r="F45" i="34"/>
  <c r="F48" i="26"/>
  <c r="H48" i="26" s="1"/>
  <c r="B48" i="26"/>
  <c r="B44" i="37"/>
  <c r="F44" i="37"/>
  <c r="G44" i="37"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H131" i="26" s="1"/>
  <c r="B131" i="26"/>
  <c r="B49" i="23"/>
  <c r="F49" i="23"/>
  <c r="H49" i="23" s="1"/>
  <c r="G52" i="4"/>
  <c r="I52" i="4" s="1"/>
  <c r="D50" i="21"/>
  <c r="E50" i="21" s="1"/>
  <c r="B71" i="20"/>
  <c r="H70" i="20"/>
  <c r="G70" i="20"/>
  <c r="E71" i="20"/>
  <c r="F71" i="20" s="1"/>
  <c r="I130" i="26"/>
  <c r="E135" i="4"/>
  <c r="F135" i="4" s="1"/>
  <c r="H135" i="4" s="1"/>
  <c r="B135" i="4"/>
  <c r="I134" i="4"/>
  <c r="I133" i="18"/>
  <c r="E128" i="35"/>
  <c r="F128" i="35" s="1"/>
  <c r="H128" i="35" s="1"/>
  <c r="E134" i="18"/>
  <c r="F134" i="18" s="1"/>
  <c r="H134" i="18" s="1"/>
  <c r="B134" i="18"/>
  <c r="B128" i="31"/>
  <c r="D131" i="25"/>
  <c r="G130" i="25"/>
  <c r="J126" i="34"/>
  <c r="B127" i="37"/>
  <c r="E127" i="37"/>
  <c r="F127" i="37" s="1"/>
  <c r="H127" i="37" s="1"/>
  <c r="I126" i="37"/>
  <c r="J129" i="25"/>
  <c r="B132" i="28"/>
  <c r="I127" i="31"/>
  <c r="I127" i="35"/>
  <c r="E128" i="31"/>
  <c r="F128" i="31" s="1"/>
  <c r="H128" i="31" s="1"/>
  <c r="J130" i="27"/>
  <c r="D128" i="34"/>
  <c r="G127" i="34"/>
  <c r="D132" i="27"/>
  <c r="G131" i="27"/>
  <c r="G131" i="21"/>
  <c r="D132" i="21"/>
  <c r="I133" i="19"/>
  <c r="J130" i="21"/>
  <c r="G131" i="24"/>
  <c r="D132" i="24"/>
  <c r="B134" i="19"/>
  <c r="F134" i="19"/>
  <c r="H134" i="19" s="1"/>
  <c r="F133" i="29"/>
  <c r="H133" i="29" s="1"/>
  <c r="J127" i="13"/>
  <c r="I132" i="29"/>
  <c r="G127" i="38"/>
  <c r="D128" i="38"/>
  <c r="D129" i="13"/>
  <c r="G128" i="13"/>
  <c r="J130" i="24"/>
  <c r="B135" i="3"/>
  <c r="I134" i="3"/>
  <c r="B128" i="20"/>
  <c r="B131" i="22"/>
  <c r="I127" i="20"/>
  <c r="H127" i="20"/>
  <c r="E131" i="22"/>
  <c r="F131" i="22" s="1"/>
  <c r="H131" i="22" s="1"/>
  <c r="E128" i="20"/>
  <c r="F128" i="20" s="1"/>
  <c r="I135" i="23"/>
  <c r="I130" i="22"/>
  <c r="D64" i="28" l="1"/>
  <c r="E64" i="28" s="1"/>
  <c r="F64" i="28" s="1"/>
  <c r="H64" i="28" s="1"/>
  <c r="H63" i="28"/>
  <c r="G63" i="28"/>
  <c r="F44" i="39"/>
  <c r="G44" i="39" s="1"/>
  <c r="B44" i="39"/>
  <c r="E132" i="27"/>
  <c r="F132" i="27" s="1"/>
  <c r="H132" i="27" s="1"/>
  <c r="E131" i="25"/>
  <c r="F131" i="25" s="1"/>
  <c r="H131" i="25" s="1"/>
  <c r="E132" i="24"/>
  <c r="E128" i="34"/>
  <c r="F128" i="34" s="1"/>
  <c r="H128" i="34" s="1"/>
  <c r="J126" i="39"/>
  <c r="D128" i="39"/>
  <c r="E128" i="39" s="1"/>
  <c r="G127" i="39"/>
  <c r="E50" i="24"/>
  <c r="F50" i="24" s="1"/>
  <c r="G50" i="24" s="1"/>
  <c r="B50" i="24"/>
  <c r="I49" i="28"/>
  <c r="H47" i="13"/>
  <c r="I47" i="13" s="1"/>
  <c r="G49" i="23"/>
  <c r="I49" i="23" s="1"/>
  <c r="J130" i="26"/>
  <c r="J131" i="28"/>
  <c r="G48" i="26"/>
  <c r="I48" i="26" s="1"/>
  <c r="H45" i="31"/>
  <c r="I45" i="31" s="1"/>
  <c r="H43" i="38"/>
  <c r="I43" i="38" s="1"/>
  <c r="G131" i="26"/>
  <c r="D132" i="26"/>
  <c r="E132" i="26"/>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29" i="31"/>
  <c r="G128" i="31"/>
  <c r="G127" i="37"/>
  <c r="D128" i="37"/>
  <c r="J127" i="31"/>
  <c r="I130" i="25"/>
  <c r="B131" i="25"/>
  <c r="J127" i="35"/>
  <c r="J127" i="20"/>
  <c r="I131" i="21"/>
  <c r="B129" i="13"/>
  <c r="B128" i="38"/>
  <c r="D134" i="29"/>
  <c r="G133" i="29"/>
  <c r="E128" i="38"/>
  <c r="F128" i="38" s="1"/>
  <c r="H128" i="38" s="1"/>
  <c r="G134" i="19"/>
  <c r="D135" i="19"/>
  <c r="I131" i="27"/>
  <c r="B132" i="21"/>
  <c r="J130" i="22"/>
  <c r="J134" i="3"/>
  <c r="I127" i="38"/>
  <c r="J133" i="19"/>
  <c r="B132" i="27"/>
  <c r="I128" i="13"/>
  <c r="H128" i="13"/>
  <c r="B132" i="24"/>
  <c r="F132" i="24"/>
  <c r="H132" i="24" s="1"/>
  <c r="I127" i="34"/>
  <c r="E129" i="13"/>
  <c r="F129" i="13" s="1"/>
  <c r="I131" i="24"/>
  <c r="E132" i="21"/>
  <c r="F132" i="21" s="1"/>
  <c r="H132" i="21" s="1"/>
  <c r="B128" i="34"/>
  <c r="G131" i="22"/>
  <c r="D132" i="22"/>
  <c r="G128" i="20"/>
  <c r="D129" i="20"/>
  <c r="J135" i="23"/>
  <c r="D137" i="23"/>
  <c r="G136" i="23"/>
  <c r="D136" i="3"/>
  <c r="G135" i="3"/>
  <c r="H44" i="39" l="1"/>
  <c r="I44" i="39" s="1"/>
  <c r="E45" i="39"/>
  <c r="D45" i="39"/>
  <c r="G64" i="28"/>
  <c r="D65" i="28"/>
  <c r="E65" i="28" s="1"/>
  <c r="F65" i="28" s="1"/>
  <c r="D66" i="28" s="1"/>
  <c r="B132" i="26"/>
  <c r="B128" i="37"/>
  <c r="E134" i="29"/>
  <c r="F134" i="29" s="1"/>
  <c r="H134" i="29" s="1"/>
  <c r="I127" i="39"/>
  <c r="J127" i="39" s="1"/>
  <c r="B128" i="39"/>
  <c r="F128" i="39"/>
  <c r="H128" i="39" s="1"/>
  <c r="H50" i="24"/>
  <c r="I50" i="24" s="1"/>
  <c r="D51" i="24"/>
  <c r="F132" i="26"/>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B49" i="26"/>
  <c r="F49" i="26"/>
  <c r="H49" i="26" s="1"/>
  <c r="G52" i="18"/>
  <c r="I52" i="18" s="1"/>
  <c r="G54" i="3"/>
  <c r="I54" i="3" s="1"/>
  <c r="D53" i="19"/>
  <c r="E53" i="19" s="1"/>
  <c r="B50" i="28"/>
  <c r="B48" i="25"/>
  <c r="F48" i="25"/>
  <c r="G48" i="25" s="1"/>
  <c r="F46" i="35"/>
  <c r="G46" i="35" s="1"/>
  <c r="B46" i="35"/>
  <c r="E136" i="4"/>
  <c r="F136" i="4" s="1"/>
  <c r="H136" i="4" s="1"/>
  <c r="B136" i="4"/>
  <c r="I135" i="4"/>
  <c r="J131" i="27"/>
  <c r="I134" i="18"/>
  <c r="E135" i="18"/>
  <c r="F135" i="18" s="1"/>
  <c r="H135" i="18" s="1"/>
  <c r="B135" i="18"/>
  <c r="I128" i="35"/>
  <c r="E129" i="35"/>
  <c r="F129" i="35" s="1"/>
  <c r="H129" i="35" s="1"/>
  <c r="B129" i="35"/>
  <c r="I127" i="37"/>
  <c r="I128" i="31"/>
  <c r="D132" i="25"/>
  <c r="G131" i="25"/>
  <c r="E129" i="31"/>
  <c r="F129" i="31" s="1"/>
  <c r="H129" i="31" s="1"/>
  <c r="B129" i="31"/>
  <c r="E128" i="37"/>
  <c r="F128" i="37" s="1"/>
  <c r="H128" i="37" s="1"/>
  <c r="J130" i="25"/>
  <c r="J131" i="21"/>
  <c r="B133" i="28"/>
  <c r="J128" i="13"/>
  <c r="J131" i="24"/>
  <c r="D129" i="38"/>
  <c r="G128" i="38"/>
  <c r="D133" i="21"/>
  <c r="G132" i="21"/>
  <c r="J127" i="34"/>
  <c r="I134" i="19"/>
  <c r="D130" i="13"/>
  <c r="E130" i="13" s="1"/>
  <c r="G129" i="13"/>
  <c r="B135" i="19"/>
  <c r="D133" i="24"/>
  <c r="G132" i="24"/>
  <c r="G132" i="27"/>
  <c r="D133" i="27"/>
  <c r="G128" i="34"/>
  <c r="D129" i="34"/>
  <c r="I133" i="29"/>
  <c r="J127" i="38"/>
  <c r="E135" i="19"/>
  <c r="F135" i="19" s="1"/>
  <c r="H135" i="19" s="1"/>
  <c r="B136" i="3"/>
  <c r="B129" i="20"/>
  <c r="E129" i="20"/>
  <c r="F129" i="20" s="1"/>
  <c r="H128" i="20"/>
  <c r="I128" i="20"/>
  <c r="B132" i="22"/>
  <c r="I135" i="3"/>
  <c r="I136" i="23"/>
  <c r="I131" i="22"/>
  <c r="E136" i="3"/>
  <c r="F136" i="3" s="1"/>
  <c r="H136" i="3" s="1"/>
  <c r="E137" i="23"/>
  <c r="F137" i="23" s="1"/>
  <c r="H137" i="23" s="1"/>
  <c r="E132" i="22"/>
  <c r="F132" i="22" s="1"/>
  <c r="H132" i="22" s="1"/>
  <c r="F45" i="39" l="1"/>
  <c r="H45" i="39" s="1"/>
  <c r="B45" i="39"/>
  <c r="E66" i="28"/>
  <c r="F66" i="28" s="1"/>
  <c r="G65" i="28"/>
  <c r="H65" i="28"/>
  <c r="E133" i="27"/>
  <c r="F133" i="27" s="1"/>
  <c r="H133" i="27" s="1"/>
  <c r="H132" i="26"/>
  <c r="E133" i="24"/>
  <c r="E133" i="21"/>
  <c r="E129" i="34"/>
  <c r="F129" i="34" s="1"/>
  <c r="H129" i="34" s="1"/>
  <c r="G128" i="39"/>
  <c r="D129" i="39"/>
  <c r="E129" i="39"/>
  <c r="E51" i="24"/>
  <c r="F51" i="24" s="1"/>
  <c r="D52" i="24" s="1"/>
  <c r="B51" i="24"/>
  <c r="G47" i="29"/>
  <c r="I47" i="29" s="1"/>
  <c r="H46" i="34"/>
  <c r="I46" i="34" s="1"/>
  <c r="G132" i="26"/>
  <c r="D133" i="26"/>
  <c r="E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0" i="26"/>
  <c r="E50" i="26" s="1"/>
  <c r="F51" i="21"/>
  <c r="H51" i="21" s="1"/>
  <c r="B51" i="21"/>
  <c r="D46" i="37"/>
  <c r="E46" i="37"/>
  <c r="D45" i="38"/>
  <c r="E45" i="38"/>
  <c r="F50" i="22"/>
  <c r="H50" i="22" s="1"/>
  <c r="B50" i="22"/>
  <c r="D47" i="35"/>
  <c r="E47" i="35" s="1"/>
  <c r="I50" i="28"/>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G135" i="18"/>
  <c r="G136" i="4"/>
  <c r="D137" i="4"/>
  <c r="J128" i="35"/>
  <c r="J135" i="4"/>
  <c r="G129" i="35"/>
  <c r="D130" i="35"/>
  <c r="J136" i="23"/>
  <c r="G129" i="31"/>
  <c r="D130" i="31"/>
  <c r="I131" i="25"/>
  <c r="E132" i="25"/>
  <c r="F132" i="25" s="1"/>
  <c r="H132" i="25" s="1"/>
  <c r="B132" i="25"/>
  <c r="J128" i="31"/>
  <c r="G128" i="37"/>
  <c r="D129" i="37"/>
  <c r="J127" i="37"/>
  <c r="G135" i="19"/>
  <c r="D136" i="19"/>
  <c r="J128" i="20"/>
  <c r="B129" i="34"/>
  <c r="I128" i="34"/>
  <c r="I132" i="21"/>
  <c r="B133" i="27"/>
  <c r="I132" i="24"/>
  <c r="I129" i="13"/>
  <c r="H129" i="13"/>
  <c r="B133" i="21"/>
  <c r="F133" i="21"/>
  <c r="H133" i="21" s="1"/>
  <c r="I132" i="27"/>
  <c r="B133" i="24"/>
  <c r="F133" i="24"/>
  <c r="H133" i="24" s="1"/>
  <c r="B130" i="13"/>
  <c r="F130" i="13"/>
  <c r="J134" i="19"/>
  <c r="I128" i="38"/>
  <c r="B129" i="38"/>
  <c r="G134" i="29"/>
  <c r="D135" i="29"/>
  <c r="E129" i="38"/>
  <c r="F129" i="38" s="1"/>
  <c r="H129" i="38" s="1"/>
  <c r="G132" i="22"/>
  <c r="D133" i="22"/>
  <c r="G137" i="23"/>
  <c r="D138" i="23"/>
  <c r="G129" i="20"/>
  <c r="D130" i="20"/>
  <c r="E130" i="20" s="1"/>
  <c r="G136" i="3"/>
  <c r="D137" i="3"/>
  <c r="J135" i="3"/>
  <c r="J131" i="22"/>
  <c r="D67" i="28" l="1"/>
  <c r="G66" i="28"/>
  <c r="H66" i="28"/>
  <c r="I45" i="39"/>
  <c r="G45" i="39"/>
  <c r="D46" i="39"/>
  <c r="E46" i="39"/>
  <c r="E67" i="28"/>
  <c r="F67" i="28" s="1"/>
  <c r="B133" i="26"/>
  <c r="E133" i="22"/>
  <c r="F133" i="22" s="1"/>
  <c r="H133" i="22" s="1"/>
  <c r="E137" i="3"/>
  <c r="F137" i="3" s="1"/>
  <c r="H137" i="3" s="1"/>
  <c r="E138" i="23"/>
  <c r="F138" i="23" s="1"/>
  <c r="H138" i="23" s="1"/>
  <c r="B136" i="18"/>
  <c r="E135" i="29"/>
  <c r="F135" i="29" s="1"/>
  <c r="H135" i="29" s="1"/>
  <c r="B129" i="39"/>
  <c r="F129" i="39"/>
  <c r="H129" i="39" s="1"/>
  <c r="I128" i="39"/>
  <c r="J128" i="39" s="1"/>
  <c r="I44" i="38"/>
  <c r="H55" i="3"/>
  <c r="I55" i="3" s="1"/>
  <c r="H51" i="24"/>
  <c r="E52" i="24"/>
  <c r="F52" i="24" s="1"/>
  <c r="B52" i="24"/>
  <c r="G51" i="24"/>
  <c r="I132" i="26"/>
  <c r="F133" i="26"/>
  <c r="H133" i="26" s="1"/>
  <c r="I48" i="13"/>
  <c r="G53" i="19"/>
  <c r="I53" i="19" s="1"/>
  <c r="G51" i="21"/>
  <c r="I51" i="21" s="1"/>
  <c r="B51" i="28"/>
  <c r="B51" i="27"/>
  <c r="F51" i="27"/>
  <c r="G51" i="27" s="1"/>
  <c r="H73" i="20"/>
  <c r="G73" i="20"/>
  <c r="G74" i="20" s="1"/>
  <c r="D54" i="18"/>
  <c r="E54" i="18" s="1"/>
  <c r="D51" i="22"/>
  <c r="E51" i="22"/>
  <c r="B51" i="23"/>
  <c r="F51" i="23"/>
  <c r="G50" i="22"/>
  <c r="I50" i="22" s="1"/>
  <c r="D56" i="3"/>
  <c r="E56" i="3" s="1"/>
  <c r="D54" i="19"/>
  <c r="E54" i="19" s="1"/>
  <c r="F47" i="34"/>
  <c r="H47" i="34" s="1"/>
  <c r="B47" i="34"/>
  <c r="D52" i="21"/>
  <c r="E52" i="2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H137" i="4" s="1"/>
  <c r="B137" i="4"/>
  <c r="I136" i="4"/>
  <c r="E136" i="18"/>
  <c r="F136" i="18" s="1"/>
  <c r="H136" i="18" s="1"/>
  <c r="I135" i="18"/>
  <c r="I129" i="35"/>
  <c r="J131" i="25"/>
  <c r="J156" i="25" s="1"/>
  <c r="E130" i="35"/>
  <c r="F130" i="35" s="1"/>
  <c r="H130" i="35" s="1"/>
  <c r="B130" i="35"/>
  <c r="E129" i="37"/>
  <c r="F129" i="37" s="1"/>
  <c r="H129" i="37" s="1"/>
  <c r="B129" i="37"/>
  <c r="I128" i="37"/>
  <c r="B134" i="28"/>
  <c r="D133" i="25"/>
  <c r="G132" i="25"/>
  <c r="B130" i="31"/>
  <c r="I129" i="31"/>
  <c r="E130" i="31"/>
  <c r="F130" i="31" s="1"/>
  <c r="H130" i="31" s="1"/>
  <c r="D130" i="38"/>
  <c r="G129" i="38"/>
  <c r="J132" i="21"/>
  <c r="J128" i="34"/>
  <c r="I134" i="29"/>
  <c r="G130" i="13"/>
  <c r="D131" i="13"/>
  <c r="E131" i="13" s="1"/>
  <c r="J129" i="13"/>
  <c r="G133" i="24"/>
  <c r="D134" i="24"/>
  <c r="G133" i="21"/>
  <c r="D134" i="21"/>
  <c r="E134" i="21"/>
  <c r="J132" i="24"/>
  <c r="B136" i="19"/>
  <c r="G129" i="34"/>
  <c r="D130" i="34"/>
  <c r="E136" i="19"/>
  <c r="F136" i="19" s="1"/>
  <c r="H136" i="19" s="1"/>
  <c r="J128" i="38"/>
  <c r="G133" i="27"/>
  <c r="D134" i="27"/>
  <c r="I135" i="19"/>
  <c r="I137" i="23"/>
  <c r="B137" i="3"/>
  <c r="I136" i="3"/>
  <c r="B133" i="22"/>
  <c r="H129" i="20"/>
  <c r="I129" i="20"/>
  <c r="B130" i="20"/>
  <c r="F130" i="20"/>
  <c r="I132" i="22"/>
  <c r="D68" i="28" l="1"/>
  <c r="G67" i="28"/>
  <c r="H67" i="28"/>
  <c r="F46" i="39"/>
  <c r="G46" i="39" s="1"/>
  <c r="B46" i="39"/>
  <c r="E68" i="28"/>
  <c r="F68" i="28" s="1"/>
  <c r="E134" i="27"/>
  <c r="E134" i="24"/>
  <c r="F134" i="24" s="1"/>
  <c r="H134" i="24" s="1"/>
  <c r="E130" i="38"/>
  <c r="F130" i="38" s="1"/>
  <c r="H130" i="38" s="1"/>
  <c r="E130" i="34"/>
  <c r="F130" i="34" s="1"/>
  <c r="H130" i="34" s="1"/>
  <c r="D130" i="39"/>
  <c r="E130" i="39" s="1"/>
  <c r="G129" i="39"/>
  <c r="D53" i="24"/>
  <c r="G52" i="24"/>
  <c r="H52" i="24"/>
  <c r="I51" i="24"/>
  <c r="D134" i="26"/>
  <c r="G133" i="26"/>
  <c r="I51" i="28"/>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G130" i="35"/>
  <c r="D131" i="35"/>
  <c r="G136" i="18"/>
  <c r="D137" i="18"/>
  <c r="J136" i="4"/>
  <c r="D138" i="4"/>
  <c r="G137" i="4"/>
  <c r="G130" i="31"/>
  <c r="D131" i="31"/>
  <c r="I132" i="25"/>
  <c r="J128" i="37"/>
  <c r="E133" i="25"/>
  <c r="F133" i="25" s="1"/>
  <c r="H133" i="25" s="1"/>
  <c r="B133" i="25"/>
  <c r="D130" i="37"/>
  <c r="G129" i="37"/>
  <c r="J132" i="22"/>
  <c r="D137" i="19"/>
  <c r="G136" i="19"/>
  <c r="I133" i="27"/>
  <c r="B130" i="34"/>
  <c r="J135" i="19"/>
  <c r="G135" i="29"/>
  <c r="D136" i="29"/>
  <c r="I129" i="34"/>
  <c r="B134" i="24"/>
  <c r="B134" i="21"/>
  <c r="F134" i="21"/>
  <c r="H134" i="21" s="1"/>
  <c r="I133" i="24"/>
  <c r="I133" i="21"/>
  <c r="I129" i="38"/>
  <c r="F131" i="13"/>
  <c r="B131" i="13"/>
  <c r="J129" i="20"/>
  <c r="B134" i="27"/>
  <c r="F134" i="27"/>
  <c r="H134" i="27" s="1"/>
  <c r="H130" i="13"/>
  <c r="I130" i="13"/>
  <c r="B130" i="38"/>
  <c r="G138" i="23"/>
  <c r="D139" i="23"/>
  <c r="D131" i="20"/>
  <c r="E131" i="20" s="1"/>
  <c r="G130" i="20"/>
  <c r="G133" i="22"/>
  <c r="D134" i="22"/>
  <c r="D138" i="3"/>
  <c r="G137" i="3"/>
  <c r="H46" i="39" l="1"/>
  <c r="I46" i="39" s="1"/>
  <c r="G68" i="28"/>
  <c r="H68" i="28"/>
  <c r="D47" i="39"/>
  <c r="E47" i="39"/>
  <c r="D69" i="28"/>
  <c r="E69" i="28" s="1"/>
  <c r="F69" i="28" s="1"/>
  <c r="D70" i="28" s="1"/>
  <c r="E137" i="19"/>
  <c r="F137" i="19" s="1"/>
  <c r="H137" i="19" s="1"/>
  <c r="E139" i="23"/>
  <c r="F139" i="23" s="1"/>
  <c r="H139" i="23" s="1"/>
  <c r="E134" i="22"/>
  <c r="F134" i="22" s="1"/>
  <c r="H134" i="22" s="1"/>
  <c r="E130" i="37"/>
  <c r="F130" i="37" s="1"/>
  <c r="H130" i="37" s="1"/>
  <c r="E131" i="35"/>
  <c r="F131" i="35" s="1"/>
  <c r="H131" i="35" s="1"/>
  <c r="E131" i="31"/>
  <c r="F131" i="31" s="1"/>
  <c r="H131" i="31" s="1"/>
  <c r="E136" i="29"/>
  <c r="I129" i="39"/>
  <c r="F130" i="39"/>
  <c r="H130" i="39" s="1"/>
  <c r="B130" i="39"/>
  <c r="I52" i="24"/>
  <c r="E53" i="24"/>
  <c r="F53" i="24" s="1"/>
  <c r="H53" i="24" s="1"/>
  <c r="B53" i="24"/>
  <c r="I133" i="26"/>
  <c r="E134" i="26"/>
  <c r="F134" i="26" s="1"/>
  <c r="H134" i="26" s="1"/>
  <c r="B134" i="26"/>
  <c r="I48" i="29"/>
  <c r="I51" i="23"/>
  <c r="B52" i="23"/>
  <c r="F52" i="23"/>
  <c r="G52" i="23" s="1"/>
  <c r="F47" i="37"/>
  <c r="G47" i="37" s="1"/>
  <c r="B47" i="37"/>
  <c r="F49" i="29"/>
  <c r="D52" i="22"/>
  <c r="E52" i="22" s="1"/>
  <c r="B50" i="25"/>
  <c r="F50" i="25"/>
  <c r="G50" i="25" s="1"/>
  <c r="D53" i="21"/>
  <c r="E53" i="21"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H137" i="18" s="1"/>
  <c r="B137" i="18"/>
  <c r="I137" i="4"/>
  <c r="I136" i="18"/>
  <c r="E138" i="4"/>
  <c r="F138" i="4" s="1"/>
  <c r="H138" i="4" s="1"/>
  <c r="B138" i="4"/>
  <c r="B131" i="35"/>
  <c r="J130" i="13"/>
  <c r="J133" i="24"/>
  <c r="I130" i="35"/>
  <c r="G133" i="25"/>
  <c r="D134" i="25"/>
  <c r="I129" i="37"/>
  <c r="B130" i="37"/>
  <c r="B131" i="31"/>
  <c r="I130" i="31"/>
  <c r="B135" i="28"/>
  <c r="J129" i="38"/>
  <c r="D131" i="34"/>
  <c r="G130" i="34"/>
  <c r="G131" i="13"/>
  <c r="D132" i="13"/>
  <c r="E132" i="13" s="1"/>
  <c r="G134" i="21"/>
  <c r="D135" i="21"/>
  <c r="J129" i="34"/>
  <c r="G134" i="24"/>
  <c r="D135" i="24"/>
  <c r="I136" i="19"/>
  <c r="D135" i="27"/>
  <c r="G134" i="27"/>
  <c r="G130" i="38"/>
  <c r="D131" i="38"/>
  <c r="F136" i="29"/>
  <c r="H136" i="29" s="1"/>
  <c r="J133" i="21"/>
  <c r="I135" i="29"/>
  <c r="B137" i="19"/>
  <c r="I138" i="23"/>
  <c r="I133" i="22"/>
  <c r="B138" i="3"/>
  <c r="I130" i="20"/>
  <c r="H130" i="20"/>
  <c r="B134" i="22"/>
  <c r="E138" i="3"/>
  <c r="F138" i="3" s="1"/>
  <c r="H138" i="3" s="1"/>
  <c r="F131" i="20"/>
  <c r="B131" i="20"/>
  <c r="I137" i="3"/>
  <c r="F47" i="39" l="1"/>
  <c r="B47" i="39"/>
  <c r="H47" i="39"/>
  <c r="E70" i="28"/>
  <c r="F70" i="28" s="1"/>
  <c r="H70" i="28" s="1"/>
  <c r="G69" i="28"/>
  <c r="H69" i="28"/>
  <c r="E135" i="24"/>
  <c r="F135" i="24" s="1"/>
  <c r="H135" i="24" s="1"/>
  <c r="E135" i="21"/>
  <c r="F135" i="21" s="1"/>
  <c r="H135" i="21" s="1"/>
  <c r="E134" i="25"/>
  <c r="F134" i="25" s="1"/>
  <c r="H134" i="25" s="1"/>
  <c r="E131" i="38"/>
  <c r="F131" i="38" s="1"/>
  <c r="H131" i="38" s="1"/>
  <c r="E131" i="34"/>
  <c r="D131" i="39"/>
  <c r="E131" i="39" s="1"/>
  <c r="G130" i="39"/>
  <c r="J129" i="39"/>
  <c r="G53" i="24"/>
  <c r="I53" i="24" s="1"/>
  <c r="D54" i="24"/>
  <c r="J137" i="4"/>
  <c r="D135" i="26"/>
  <c r="G134" i="26"/>
  <c r="J133" i="26"/>
  <c r="H51" i="26"/>
  <c r="I51" i="26" s="1"/>
  <c r="G48" i="31"/>
  <c r="I48" i="31" s="1"/>
  <c r="H47" i="37"/>
  <c r="I47" i="37" s="1"/>
  <c r="I55" i="4"/>
  <c r="G48" i="35"/>
  <c r="I48" i="35" s="1"/>
  <c r="G52" i="27"/>
  <c r="I52" i="27" s="1"/>
  <c r="I52" i="28"/>
  <c r="H50" i="25"/>
  <c r="I50" i="25" s="1"/>
  <c r="I56" i="3"/>
  <c r="F57" i="3"/>
  <c r="H57" i="3" s="1"/>
  <c r="B57" i="3"/>
  <c r="D47" i="38"/>
  <c r="E47" i="38"/>
  <c r="D49" i="34"/>
  <c r="E49" i="34"/>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G138" i="4"/>
  <c r="D132" i="35"/>
  <c r="G131" i="35"/>
  <c r="J130" i="31"/>
  <c r="D138" i="18"/>
  <c r="G137" i="18"/>
  <c r="G130" i="37"/>
  <c r="D131" i="37"/>
  <c r="B134" i="25"/>
  <c r="D132" i="31"/>
  <c r="G131" i="31"/>
  <c r="I133" i="25"/>
  <c r="J133" i="22"/>
  <c r="J138" i="23"/>
  <c r="J136" i="19"/>
  <c r="G136" i="29"/>
  <c r="D137" i="29"/>
  <c r="B135" i="24"/>
  <c r="I130" i="34"/>
  <c r="I134" i="24"/>
  <c r="B132" i="13"/>
  <c r="F132" i="13"/>
  <c r="B131" i="34"/>
  <c r="F131" i="34"/>
  <c r="H131" i="34" s="1"/>
  <c r="B135" i="27"/>
  <c r="H131" i="13"/>
  <c r="I131" i="13"/>
  <c r="I130" i="38"/>
  <c r="B135" i="21"/>
  <c r="B131" i="38"/>
  <c r="E135" i="27"/>
  <c r="F135" i="27" s="1"/>
  <c r="H135" i="27" s="1"/>
  <c r="I134" i="21"/>
  <c r="D138" i="19"/>
  <c r="G137" i="19"/>
  <c r="J137" i="3"/>
  <c r="I134" i="27"/>
  <c r="G138" i="3"/>
  <c r="D139" i="3"/>
  <c r="D140" i="23"/>
  <c r="G139" i="23"/>
  <c r="D135" i="22"/>
  <c r="G134" i="22"/>
  <c r="D132" i="20"/>
  <c r="G131" i="20"/>
  <c r="J130" i="20"/>
  <c r="G47" i="39" l="1"/>
  <c r="I47" i="39" s="1"/>
  <c r="D48" i="39"/>
  <c r="E48" i="39"/>
  <c r="G70" i="28"/>
  <c r="D71" i="28"/>
  <c r="E138" i="19"/>
  <c r="B135" i="26"/>
  <c r="E140" i="23"/>
  <c r="F140" i="23" s="1"/>
  <c r="H140" i="23" s="1"/>
  <c r="E139" i="3"/>
  <c r="E135" i="22"/>
  <c r="F135" i="22" s="1"/>
  <c r="H135" i="22" s="1"/>
  <c r="B139" i="4"/>
  <c r="I130" i="39"/>
  <c r="F131" i="39"/>
  <c r="H131" i="39" s="1"/>
  <c r="B131" i="39"/>
  <c r="E135" i="26"/>
  <c r="F135" i="26" s="1"/>
  <c r="H135" i="26" s="1"/>
  <c r="E54" i="24"/>
  <c r="F54" i="24" s="1"/>
  <c r="H54" i="24" s="1"/>
  <c r="B54" i="24"/>
  <c r="J134" i="21"/>
  <c r="I134" i="26"/>
  <c r="H56" i="4"/>
  <c r="I56" i="4" s="1"/>
  <c r="I49" i="29"/>
  <c r="H52" i="22"/>
  <c r="I52" i="22" s="1"/>
  <c r="I46" i="38"/>
  <c r="G57" i="3"/>
  <c r="I57" i="3" s="1"/>
  <c r="D56" i="18"/>
  <c r="E56" i="18" s="1"/>
  <c r="G55" i="18"/>
  <c r="D54" i="21"/>
  <c r="E54" i="21"/>
  <c r="F49" i="31"/>
  <c r="B49" i="31"/>
  <c r="D56" i="19"/>
  <c r="E56" i="19" s="1"/>
  <c r="F49" i="35"/>
  <c r="G49" i="35" s="1"/>
  <c r="B49" i="35"/>
  <c r="B52" i="26"/>
  <c r="F52" i="26"/>
  <c r="H52" i="26" s="1"/>
  <c r="B53" i="28"/>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H132" i="35" s="1"/>
  <c r="B132" i="35"/>
  <c r="I138" i="4"/>
  <c r="I137" i="18"/>
  <c r="E138" i="18"/>
  <c r="F138" i="18" s="1"/>
  <c r="H138" i="18" s="1"/>
  <c r="B138" i="18"/>
  <c r="J134" i="27"/>
  <c r="I131" i="35"/>
  <c r="E139" i="4"/>
  <c r="F139" i="4" s="1"/>
  <c r="H139" i="4" s="1"/>
  <c r="I131" i="31"/>
  <c r="E132" i="31"/>
  <c r="F132" i="31" s="1"/>
  <c r="H132" i="31" s="1"/>
  <c r="B132" i="31"/>
  <c r="G134" i="25"/>
  <c r="D135" i="25"/>
  <c r="B136" i="28"/>
  <c r="E131" i="37"/>
  <c r="F131" i="37" s="1"/>
  <c r="H131" i="37" s="1"/>
  <c r="B131" i="37"/>
  <c r="I130" i="37"/>
  <c r="J130" i="38"/>
  <c r="J131" i="13"/>
  <c r="J156" i="13" s="1"/>
  <c r="J134" i="24"/>
  <c r="I136" i="29"/>
  <c r="G131" i="38"/>
  <c r="D132" i="38"/>
  <c r="I137" i="19"/>
  <c r="G135" i="27"/>
  <c r="D136" i="27"/>
  <c r="B138" i="19"/>
  <c r="F138" i="19"/>
  <c r="H138" i="19" s="1"/>
  <c r="J130" i="34"/>
  <c r="D132" i="34"/>
  <c r="G131" i="34"/>
  <c r="G135" i="24"/>
  <c r="D136" i="24"/>
  <c r="D136" i="21"/>
  <c r="G135" i="21"/>
  <c r="D133" i="13"/>
  <c r="E133" i="13" s="1"/>
  <c r="G132" i="13"/>
  <c r="E137" i="29"/>
  <c r="F137" i="29" s="1"/>
  <c r="H137" i="29" s="1"/>
  <c r="B139" i="3"/>
  <c r="F139" i="3"/>
  <c r="H139" i="3" s="1"/>
  <c r="I138" i="3"/>
  <c r="I134" i="22"/>
  <c r="I131" i="20"/>
  <c r="H131" i="20"/>
  <c r="B132" i="20"/>
  <c r="B135" i="22"/>
  <c r="E132" i="20"/>
  <c r="F132" i="20" s="1"/>
  <c r="I139" i="23"/>
  <c r="F48" i="39" l="1"/>
  <c r="B48" i="39"/>
  <c r="G48" i="39"/>
  <c r="E71" i="28"/>
  <c r="F71" i="28" s="1"/>
  <c r="E136" i="24"/>
  <c r="E136" i="21"/>
  <c r="F136" i="21" s="1"/>
  <c r="H136" i="21" s="1"/>
  <c r="E136" i="27"/>
  <c r="F136" i="27" s="1"/>
  <c r="H136" i="27" s="1"/>
  <c r="E132" i="34"/>
  <c r="F132" i="34" s="1"/>
  <c r="H132" i="34" s="1"/>
  <c r="D132" i="39"/>
  <c r="E132" i="39" s="1"/>
  <c r="G131" i="39"/>
  <c r="J130" i="39"/>
  <c r="G49" i="34"/>
  <c r="I49" i="34" s="1"/>
  <c r="G54" i="24"/>
  <c r="I54" i="24" s="1"/>
  <c r="D55" i="24"/>
  <c r="J134" i="26"/>
  <c r="G135" i="26"/>
  <c r="D136" i="26"/>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c r="D51" i="29"/>
  <c r="E51" i="29" s="1"/>
  <c r="G49" i="31"/>
  <c r="F58" i="3"/>
  <c r="H58" i="3" s="1"/>
  <c r="B58" i="3"/>
  <c r="D50" i="34"/>
  <c r="E50" i="34"/>
  <c r="H50" i="29"/>
  <c r="D54" i="23"/>
  <c r="E54" i="23" s="1"/>
  <c r="D50" i="35"/>
  <c r="E50" i="35" s="1"/>
  <c r="G50" i="29"/>
  <c r="D53" i="26"/>
  <c r="E53" i="26"/>
  <c r="B54" i="21"/>
  <c r="F54" i="21"/>
  <c r="G54" i="21" s="1"/>
  <c r="D54" i="27"/>
  <c r="E54" i="27" s="1"/>
  <c r="G53" i="23"/>
  <c r="I53" i="23" s="1"/>
  <c r="G52" i="26"/>
  <c r="I52" i="26" s="1"/>
  <c r="B56" i="19"/>
  <c r="F56" i="19"/>
  <c r="D48" i="38"/>
  <c r="E48" i="38"/>
  <c r="F56" i="18"/>
  <c r="H56" i="18" s="1"/>
  <c r="B56" i="18"/>
  <c r="J138" i="4"/>
  <c r="D52" i="25"/>
  <c r="E52" i="25" s="1"/>
  <c r="D49" i="37"/>
  <c r="E49" i="37" s="1"/>
  <c r="I53" i="28"/>
  <c r="H49" i="31"/>
  <c r="D139" i="18"/>
  <c r="G138" i="18"/>
  <c r="J137" i="18"/>
  <c r="G139" i="4"/>
  <c r="D140" i="4"/>
  <c r="J130" i="37"/>
  <c r="J131" i="35"/>
  <c r="J156" i="35" s="1"/>
  <c r="G132" i="35"/>
  <c r="D133" i="35"/>
  <c r="G131" i="37"/>
  <c r="D132" i="37"/>
  <c r="B135" i="25"/>
  <c r="E135" i="25"/>
  <c r="F135" i="25" s="1"/>
  <c r="H135" i="25" s="1"/>
  <c r="I134" i="25"/>
  <c r="D133" i="31"/>
  <c r="G132" i="31"/>
  <c r="J135" i="28"/>
  <c r="J131" i="31"/>
  <c r="J134" i="22"/>
  <c r="G137" i="29"/>
  <c r="D138" i="29"/>
  <c r="I131" i="34"/>
  <c r="B132" i="38"/>
  <c r="B132" i="34"/>
  <c r="G138" i="19"/>
  <c r="D139" i="19"/>
  <c r="I131" i="38"/>
  <c r="B133" i="13"/>
  <c r="F133" i="13"/>
  <c r="B136" i="21"/>
  <c r="E132" i="38"/>
  <c r="F132" i="38" s="1"/>
  <c r="H132" i="38" s="1"/>
  <c r="I135" i="24"/>
  <c r="I135" i="21"/>
  <c r="B136" i="27"/>
  <c r="I132" i="13"/>
  <c r="H132" i="13"/>
  <c r="F136" i="24"/>
  <c r="H136" i="24" s="1"/>
  <c r="B136" i="24"/>
  <c r="I135" i="27"/>
  <c r="G132" i="20"/>
  <c r="D133" i="20"/>
  <c r="E133" i="20" s="1"/>
  <c r="G139" i="3"/>
  <c r="D140" i="3"/>
  <c r="J139" i="23"/>
  <c r="J131" i="20"/>
  <c r="G135" i="22"/>
  <c r="D136" i="22"/>
  <c r="J138" i="3"/>
  <c r="D141" i="23"/>
  <c r="G140" i="23"/>
  <c r="D72" i="28" l="1"/>
  <c r="H71" i="28"/>
  <c r="G71" i="28"/>
  <c r="H48" i="39"/>
  <c r="I48" i="39" s="1"/>
  <c r="E49" i="39"/>
  <c r="D49" i="39"/>
  <c r="E72" i="28"/>
  <c r="F72" i="28"/>
  <c r="H72" i="28" s="1"/>
  <c r="B136" i="26"/>
  <c r="E141" i="23"/>
  <c r="F141" i="23" s="1"/>
  <c r="H141" i="23" s="1"/>
  <c r="B139" i="18"/>
  <c r="E133" i="31"/>
  <c r="F133" i="31" s="1"/>
  <c r="H133" i="31" s="1"/>
  <c r="E138" i="29"/>
  <c r="F138" i="29" s="1"/>
  <c r="H138" i="29" s="1"/>
  <c r="I131" i="39"/>
  <c r="B132" i="39"/>
  <c r="F132" i="39"/>
  <c r="H132" i="39" s="1"/>
  <c r="E136" i="26"/>
  <c r="F136" i="26" s="1"/>
  <c r="H136" i="26" s="1"/>
  <c r="E55" i="24"/>
  <c r="F55" i="24" s="1"/>
  <c r="B55" i="24"/>
  <c r="I135" i="26"/>
  <c r="I49" i="31"/>
  <c r="H54" i="21"/>
  <c r="I54" i="21" s="1"/>
  <c r="E139" i="18"/>
  <c r="F139" i="18" s="1"/>
  <c r="H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G57" i="4"/>
  <c r="D57" i="18"/>
  <c r="E57" i="18" s="1"/>
  <c r="F53" i="26"/>
  <c r="H53" i="26" s="1"/>
  <c r="B53" i="26"/>
  <c r="B50" i="34"/>
  <c r="F50" i="34"/>
  <c r="F51" i="29"/>
  <c r="G53" i="22"/>
  <c r="I53" i="22" s="1"/>
  <c r="B52" i="13"/>
  <c r="F52" i="13"/>
  <c r="G52" i="13" s="1"/>
  <c r="B140" i="4"/>
  <c r="E140" i="4"/>
  <c r="F140" i="4" s="1"/>
  <c r="H140" i="4" s="1"/>
  <c r="I139" i="4"/>
  <c r="J135" i="24"/>
  <c r="E133" i="35"/>
  <c r="F133" i="35" s="1"/>
  <c r="H133" i="35" s="1"/>
  <c r="B133" i="35"/>
  <c r="I138" i="18"/>
  <c r="I132" i="35"/>
  <c r="G135" i="25"/>
  <c r="D136" i="25"/>
  <c r="B132" i="37"/>
  <c r="I132" i="31"/>
  <c r="E132" i="37"/>
  <c r="F132" i="37" s="1"/>
  <c r="H132" i="37" s="1"/>
  <c r="I131" i="37"/>
  <c r="B133" i="31"/>
  <c r="B137" i="28"/>
  <c r="J131" i="34"/>
  <c r="J156" i="34" s="1"/>
  <c r="J135" i="27"/>
  <c r="D133" i="38"/>
  <c r="G132" i="38"/>
  <c r="B139" i="19"/>
  <c r="D137" i="27"/>
  <c r="G136" i="27"/>
  <c r="D137" i="21"/>
  <c r="G136" i="21"/>
  <c r="E139" i="19"/>
  <c r="F139" i="19" s="1"/>
  <c r="H139" i="19" s="1"/>
  <c r="I137" i="29"/>
  <c r="I138" i="19"/>
  <c r="G136" i="24"/>
  <c r="D137" i="24"/>
  <c r="G133" i="13"/>
  <c r="D134" i="13"/>
  <c r="E134" i="13" s="1"/>
  <c r="D133" i="34"/>
  <c r="G132" i="34"/>
  <c r="J135" i="21"/>
  <c r="B140" i="3"/>
  <c r="B133" i="20"/>
  <c r="F133" i="20"/>
  <c r="H132" i="20"/>
  <c r="I132" i="20"/>
  <c r="I139" i="3"/>
  <c r="B136" i="22"/>
  <c r="I135" i="22"/>
  <c r="I140" i="23"/>
  <c r="E140" i="3"/>
  <c r="F140" i="3" s="1"/>
  <c r="H140" i="3" s="1"/>
  <c r="E136" i="22"/>
  <c r="F136" i="22" s="1"/>
  <c r="H136" i="22" s="1"/>
  <c r="B49" i="39" l="1"/>
  <c r="F49" i="39"/>
  <c r="G49" i="39"/>
  <c r="G72" i="28"/>
  <c r="D73" i="28"/>
  <c r="E73" i="28" s="1"/>
  <c r="F73" i="28" s="1"/>
  <c r="E137" i="24"/>
  <c r="F137" i="24" s="1"/>
  <c r="H137" i="24" s="1"/>
  <c r="E137" i="21"/>
  <c r="E133" i="38"/>
  <c r="F133" i="38" s="1"/>
  <c r="H133" i="38" s="1"/>
  <c r="D133" i="39"/>
  <c r="G132" i="39"/>
  <c r="J131" i="39"/>
  <c r="J156" i="39" s="1"/>
  <c r="H55" i="24"/>
  <c r="D56" i="24"/>
  <c r="G55" i="24"/>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c r="D53" i="13"/>
  <c r="E53" i="13" s="1"/>
  <c r="B57" i="18"/>
  <c r="F57" i="18"/>
  <c r="H52" i="13"/>
  <c r="I52" i="13" s="1"/>
  <c r="H50" i="34"/>
  <c r="G54" i="27"/>
  <c r="G50" i="34"/>
  <c r="D55" i="23"/>
  <c r="E55" i="23" s="1"/>
  <c r="B55" i="21"/>
  <c r="F55" i="21"/>
  <c r="H55" i="21" s="1"/>
  <c r="F54" i="22"/>
  <c r="H54" i="22" s="1"/>
  <c r="B54" i="22"/>
  <c r="H54" i="27"/>
  <c r="J139" i="4"/>
  <c r="H54" i="23"/>
  <c r="I54" i="23" s="1"/>
  <c r="D49" i="38"/>
  <c r="E49" i="38" s="1"/>
  <c r="D52" i="29"/>
  <c r="E52" i="29" s="1"/>
  <c r="B59" i="3"/>
  <c r="F59" i="3"/>
  <c r="G59" i="3" s="1"/>
  <c r="F57" i="19"/>
  <c r="H57" i="19" s="1"/>
  <c r="B57" i="19"/>
  <c r="H51" i="29"/>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D134" i="31"/>
  <c r="G133" i="31"/>
  <c r="J138" i="19"/>
  <c r="E136" i="25"/>
  <c r="F136" i="25" s="1"/>
  <c r="H136" i="25" s="1"/>
  <c r="B136" i="25"/>
  <c r="J131" i="37"/>
  <c r="J156" i="37" s="1"/>
  <c r="I135" i="25"/>
  <c r="B137" i="24"/>
  <c r="B137" i="27"/>
  <c r="I136" i="27"/>
  <c r="H133" i="13"/>
  <c r="I133" i="13"/>
  <c r="I136" i="24"/>
  <c r="B133" i="34"/>
  <c r="D139" i="29"/>
  <c r="G138" i="29"/>
  <c r="I136" i="21"/>
  <c r="F134" i="13"/>
  <c r="B134" i="13"/>
  <c r="E133" i="34"/>
  <c r="F133" i="34" s="1"/>
  <c r="H133" i="34" s="1"/>
  <c r="B137" i="21"/>
  <c r="F137" i="21"/>
  <c r="H137" i="21" s="1"/>
  <c r="I132" i="38"/>
  <c r="G139" i="19"/>
  <c r="D140" i="19"/>
  <c r="I132" i="34"/>
  <c r="E137" i="27"/>
  <c r="F137" i="27" s="1"/>
  <c r="H137" i="27" s="1"/>
  <c r="B133" i="38"/>
  <c r="G140" i="3"/>
  <c r="D141" i="3"/>
  <c r="D142" i="23"/>
  <c r="G141" i="23"/>
  <c r="G136" i="22"/>
  <c r="D137" i="22"/>
  <c r="D134" i="20"/>
  <c r="G133" i="20"/>
  <c r="J135" i="22"/>
  <c r="I55" i="24" l="1"/>
  <c r="D50" i="39"/>
  <c r="E50" i="39"/>
  <c r="H49" i="39"/>
  <c r="I49" i="39" s="1"/>
  <c r="E133" i="39"/>
  <c r="G73" i="28"/>
  <c r="H73" i="28"/>
  <c r="E137" i="22"/>
  <c r="F137" i="22" s="1"/>
  <c r="H137" i="22" s="1"/>
  <c r="E141" i="3"/>
  <c r="F141" i="3" s="1"/>
  <c r="H141" i="3" s="1"/>
  <c r="E142" i="23"/>
  <c r="E133" i="37"/>
  <c r="F133" i="37" s="1"/>
  <c r="H133" i="37" s="1"/>
  <c r="E139" i="29"/>
  <c r="I132" i="39"/>
  <c r="F133" i="39"/>
  <c r="H133" i="39" s="1"/>
  <c r="B133" i="39"/>
  <c r="E56" i="24"/>
  <c r="F56" i="24" s="1"/>
  <c r="G56" i="24" s="1"/>
  <c r="B56" i="24"/>
  <c r="I54" i="28"/>
  <c r="I136" i="26"/>
  <c r="E137" i="26"/>
  <c r="F137" i="26" s="1"/>
  <c r="H137" i="26" s="1"/>
  <c r="B137" i="26"/>
  <c r="I51" i="29"/>
  <c r="I54" i="27"/>
  <c r="B140" i="18"/>
  <c r="E140" i="18"/>
  <c r="F140" i="18" s="1"/>
  <c r="H140" i="18" s="1"/>
  <c r="I139" i="18"/>
  <c r="I48" i="38"/>
  <c r="D58" i="18"/>
  <c r="E58" i="18" s="1"/>
  <c r="B55" i="27"/>
  <c r="F55" i="27"/>
  <c r="G55" i="27" s="1"/>
  <c r="F54" i="26"/>
  <c r="H54" i="26" s="1"/>
  <c r="B54" i="26"/>
  <c r="B49" i="38"/>
  <c r="F49" i="38"/>
  <c r="G49" i="38" s="1"/>
  <c r="D55" i="22"/>
  <c r="E55" i="22" s="1"/>
  <c r="B55" i="28"/>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I140" i="4"/>
  <c r="B141" i="4"/>
  <c r="E141" i="4"/>
  <c r="F141" i="4" s="1"/>
  <c r="H141" i="4" s="1"/>
  <c r="I133" i="35"/>
  <c r="J136" i="24"/>
  <c r="E134" i="35"/>
  <c r="F134" i="35" s="1"/>
  <c r="H134" i="35" s="1"/>
  <c r="B134" i="35"/>
  <c r="J136" i="27"/>
  <c r="I133" i="31"/>
  <c r="E134" i="31"/>
  <c r="F134" i="31" s="1"/>
  <c r="H134" i="31" s="1"/>
  <c r="B134" i="31"/>
  <c r="B138" i="28"/>
  <c r="G136" i="25"/>
  <c r="D137" i="25"/>
  <c r="B133" i="37"/>
  <c r="I132" i="37"/>
  <c r="G133" i="34"/>
  <c r="D134" i="34"/>
  <c r="G137" i="27"/>
  <c r="D138" i="27"/>
  <c r="I139" i="19"/>
  <c r="J136" i="21"/>
  <c r="G137" i="24"/>
  <c r="D138" i="24"/>
  <c r="B140" i="19"/>
  <c r="E140" i="19"/>
  <c r="F140" i="19" s="1"/>
  <c r="H140" i="19" s="1"/>
  <c r="D138" i="21"/>
  <c r="G137" i="21"/>
  <c r="I138" i="29"/>
  <c r="G133" i="38"/>
  <c r="D134" i="38"/>
  <c r="F139" i="29"/>
  <c r="H139" i="29" s="1"/>
  <c r="D135" i="13"/>
  <c r="E135" i="13" s="1"/>
  <c r="G134" i="13"/>
  <c r="B134" i="20"/>
  <c r="I136" i="22"/>
  <c r="B137" i="22"/>
  <c r="H133" i="20"/>
  <c r="I133" i="20"/>
  <c r="B141" i="3"/>
  <c r="I141" i="23"/>
  <c r="F142" i="23"/>
  <c r="H142" i="23" s="1"/>
  <c r="E134" i="20"/>
  <c r="F134" i="20" s="1"/>
  <c r="I140" i="3"/>
  <c r="F50" i="39" l="1"/>
  <c r="B50" i="39"/>
  <c r="H50" i="39"/>
  <c r="E138" i="24"/>
  <c r="F138" i="24" s="1"/>
  <c r="H138" i="24" s="1"/>
  <c r="E138" i="27"/>
  <c r="E138" i="21"/>
  <c r="E134" i="34"/>
  <c r="F134" i="34" s="1"/>
  <c r="H134" i="34" s="1"/>
  <c r="G133" i="39"/>
  <c r="D134" i="39"/>
  <c r="H49" i="38"/>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0" i="38"/>
  <c r="E50" i="38"/>
  <c r="H55" i="27"/>
  <c r="I55" i="27" s="1"/>
  <c r="F58" i="19"/>
  <c r="B58" i="19"/>
  <c r="D52" i="31"/>
  <c r="E52" i="31" s="1"/>
  <c r="B60" i="3"/>
  <c r="F60" i="3"/>
  <c r="G60" i="3" s="1"/>
  <c r="H51" i="31"/>
  <c r="D54" i="25"/>
  <c r="E54" i="25" s="1"/>
  <c r="D51" i="37"/>
  <c r="E51" i="37" s="1"/>
  <c r="D54" i="13"/>
  <c r="G51" i="31"/>
  <c r="I55" i="28"/>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H137" i="25" s="1"/>
  <c r="B137" i="25"/>
  <c r="I136" i="25"/>
  <c r="J133" i="31"/>
  <c r="D141" i="19"/>
  <c r="G140" i="19"/>
  <c r="H134" i="13"/>
  <c r="I134" i="13"/>
  <c r="B138" i="24"/>
  <c r="J136" i="22"/>
  <c r="B135" i="13"/>
  <c r="F135" i="13"/>
  <c r="I137" i="24"/>
  <c r="F138" i="27"/>
  <c r="H138" i="27" s="1"/>
  <c r="B138" i="27"/>
  <c r="G139" i="29"/>
  <c r="D140" i="29"/>
  <c r="J133" i="20"/>
  <c r="B134" i="38"/>
  <c r="I137" i="27"/>
  <c r="I133" i="38"/>
  <c r="E134" i="38"/>
  <c r="F134" i="38" s="1"/>
  <c r="H134" i="38" s="1"/>
  <c r="I137" i="21"/>
  <c r="B134" i="34"/>
  <c r="B138" i="21"/>
  <c r="F138" i="21"/>
  <c r="H138" i="21" s="1"/>
  <c r="I133" i="34"/>
  <c r="G134" i="20"/>
  <c r="D135" i="20"/>
  <c r="E135" i="20" s="1"/>
  <c r="D143" i="23"/>
  <c r="G142" i="23"/>
  <c r="G141" i="3"/>
  <c r="D142" i="3"/>
  <c r="J140" i="3"/>
  <c r="D138" i="22"/>
  <c r="G137" i="22"/>
  <c r="G50" i="39" l="1"/>
  <c r="I50" i="39" s="1"/>
  <c r="D51" i="39"/>
  <c r="E51" i="39"/>
  <c r="E141" i="19"/>
  <c r="F141" i="19" s="1"/>
  <c r="H141" i="19" s="1"/>
  <c r="E138" i="22"/>
  <c r="F138" i="22" s="1"/>
  <c r="H138" i="22" s="1"/>
  <c r="E143" i="23"/>
  <c r="F143" i="23" s="1"/>
  <c r="H143" i="23" s="1"/>
  <c r="E140" i="29"/>
  <c r="F140" i="29" s="1"/>
  <c r="H140" i="29" s="1"/>
  <c r="E134" i="39"/>
  <c r="F134" i="39" s="1"/>
  <c r="H134" i="39" s="1"/>
  <c r="B134" i="39"/>
  <c r="I133" i="39"/>
  <c r="G59" i="4"/>
  <c r="I59" i="4" s="1"/>
  <c r="E57" i="24"/>
  <c r="F57" i="24" s="1"/>
  <c r="B57" i="24"/>
  <c r="I137" i="26"/>
  <c r="E138" i="26"/>
  <c r="F138" i="26" s="1"/>
  <c r="H138" i="26" s="1"/>
  <c r="B138" i="26"/>
  <c r="H58" i="18"/>
  <c r="I58" i="18" s="1"/>
  <c r="G56" i="21"/>
  <c r="I56" i="21" s="1"/>
  <c r="I51" i="31"/>
  <c r="H60" i="3"/>
  <c r="I60" i="3" s="1"/>
  <c r="I140" i="18"/>
  <c r="E141" i="18"/>
  <c r="F141" i="18" s="1"/>
  <c r="H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B56" i="28"/>
  <c r="G58" i="19"/>
  <c r="I51" i="35"/>
  <c r="F52" i="35"/>
  <c r="G52" i="35" s="1"/>
  <c r="B52" i="35"/>
  <c r="F55" i="26"/>
  <c r="B55" i="26"/>
  <c r="E54" i="13"/>
  <c r="F54" i="13" s="1"/>
  <c r="D61" i="3"/>
  <c r="E61" i="3" s="1"/>
  <c r="H58" i="19"/>
  <c r="I141" i="4"/>
  <c r="B142" i="4"/>
  <c r="E142" i="4"/>
  <c r="F142" i="4" s="1"/>
  <c r="H142" i="4" s="1"/>
  <c r="E135" i="35"/>
  <c r="F135" i="35" s="1"/>
  <c r="H135" i="35" s="1"/>
  <c r="B135" i="35"/>
  <c r="I134" i="35"/>
  <c r="G137" i="25"/>
  <c r="D138" i="25"/>
  <c r="B139" i="28"/>
  <c r="E135" i="31"/>
  <c r="F135" i="31" s="1"/>
  <c r="H135" i="31" s="1"/>
  <c r="B135" i="31"/>
  <c r="I134" i="31"/>
  <c r="I133" i="37"/>
  <c r="E134" i="37"/>
  <c r="F134" i="37" s="1"/>
  <c r="H134" i="37" s="1"/>
  <c r="B134" i="37"/>
  <c r="D135" i="34"/>
  <c r="G134" i="34"/>
  <c r="D139" i="27"/>
  <c r="G138" i="27"/>
  <c r="D136" i="13"/>
  <c r="E136" i="13" s="1"/>
  <c r="G135" i="13"/>
  <c r="G138" i="21"/>
  <c r="D139" i="21"/>
  <c r="G134" i="38"/>
  <c r="D135" i="38"/>
  <c r="I140" i="19"/>
  <c r="J137" i="24"/>
  <c r="D139" i="24"/>
  <c r="G138" i="24"/>
  <c r="I139" i="29"/>
  <c r="J137" i="21"/>
  <c r="J137" i="27"/>
  <c r="B141" i="19"/>
  <c r="B135" i="20"/>
  <c r="F135" i="20"/>
  <c r="I141" i="3"/>
  <c r="I142" i="23"/>
  <c r="H134" i="20"/>
  <c r="I134" i="20"/>
  <c r="B142" i="3"/>
  <c r="E142" i="3"/>
  <c r="F142" i="3" s="1"/>
  <c r="H142" i="3" s="1"/>
  <c r="I137" i="22"/>
  <c r="B138" i="22"/>
  <c r="B51" i="39" l="1"/>
  <c r="F51" i="39"/>
  <c r="E139" i="27"/>
  <c r="E139" i="21"/>
  <c r="F139" i="21" s="1"/>
  <c r="H139" i="21" s="1"/>
  <c r="E139" i="24"/>
  <c r="E135" i="38"/>
  <c r="E135" i="34"/>
  <c r="F135" i="34" s="1"/>
  <c r="H135" i="34" s="1"/>
  <c r="D135" i="39"/>
  <c r="G134" i="39"/>
  <c r="H57" i="24"/>
  <c r="D58" i="24"/>
  <c r="G57" i="24"/>
  <c r="J137" i="26"/>
  <c r="G138" i="26"/>
  <c r="D139" i="26"/>
  <c r="G53" i="29"/>
  <c r="I53" i="29" s="1"/>
  <c r="H50" i="38"/>
  <c r="I50" i="38" s="1"/>
  <c r="J138" i="28"/>
  <c r="J134" i="31"/>
  <c r="H56" i="23"/>
  <c r="I56" i="23" s="1"/>
  <c r="I56" i="28"/>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G135" i="35"/>
  <c r="D143" i="4"/>
  <c r="G142" i="4"/>
  <c r="J142" i="23"/>
  <c r="J141" i="4"/>
  <c r="D135" i="37"/>
  <c r="G134" i="37"/>
  <c r="D136" i="31"/>
  <c r="G135" i="31"/>
  <c r="E138" i="25"/>
  <c r="F138" i="25" s="1"/>
  <c r="H138" i="25" s="1"/>
  <c r="B138" i="25"/>
  <c r="I137" i="25"/>
  <c r="J140" i="19"/>
  <c r="I134" i="38"/>
  <c r="F136" i="13"/>
  <c r="B136" i="13"/>
  <c r="I134" i="34"/>
  <c r="B135" i="34"/>
  <c r="D142" i="19"/>
  <c r="G141" i="19"/>
  <c r="G140" i="29"/>
  <c r="D141" i="29"/>
  <c r="B139" i="21"/>
  <c r="I138" i="24"/>
  <c r="I138" i="21"/>
  <c r="F139" i="27"/>
  <c r="H139" i="27" s="1"/>
  <c r="B139" i="27"/>
  <c r="B139" i="24"/>
  <c r="F139" i="24"/>
  <c r="H139" i="24" s="1"/>
  <c r="B135" i="38"/>
  <c r="F135" i="38"/>
  <c r="H135" i="38" s="1"/>
  <c r="H135" i="13"/>
  <c r="I135" i="13"/>
  <c r="I138" i="27"/>
  <c r="J141" i="3"/>
  <c r="G142" i="3"/>
  <c r="D143" i="3"/>
  <c r="G135" i="20"/>
  <c r="D136" i="20"/>
  <c r="E136" i="20" s="1"/>
  <c r="G143" i="23"/>
  <c r="D144" i="23"/>
  <c r="G138" i="22"/>
  <c r="D139" i="22"/>
  <c r="H51" i="39" l="1"/>
  <c r="D52" i="39"/>
  <c r="E52" i="39"/>
  <c r="G51" i="39"/>
  <c r="E135" i="39"/>
  <c r="B139" i="26"/>
  <c r="E142" i="19"/>
  <c r="F142" i="19" s="1"/>
  <c r="H142" i="19" s="1"/>
  <c r="E144" i="23"/>
  <c r="F144" i="23" s="1"/>
  <c r="H144" i="23" s="1"/>
  <c r="E136" i="35"/>
  <c r="F136" i="35" s="1"/>
  <c r="H136" i="35" s="1"/>
  <c r="E141" i="29"/>
  <c r="F141" i="29" s="1"/>
  <c r="H141" i="29" s="1"/>
  <c r="I134" i="39"/>
  <c r="B135" i="39"/>
  <c r="F135" i="39"/>
  <c r="H135" i="39" s="1"/>
  <c r="I57" i="24"/>
  <c r="E58" i="24"/>
  <c r="F58" i="24" s="1"/>
  <c r="G58" i="24" s="1"/>
  <c r="B58" i="24"/>
  <c r="E139" i="26"/>
  <c r="F139" i="26" s="1"/>
  <c r="H139" i="26" s="1"/>
  <c r="I138" i="26"/>
  <c r="H57" i="21"/>
  <c r="I57" i="21" s="1"/>
  <c r="G59" i="19"/>
  <c r="I59" i="19" s="1"/>
  <c r="E142" i="18"/>
  <c r="F142" i="18" s="1"/>
  <c r="H142" i="18" s="1"/>
  <c r="B142" i="18"/>
  <c r="I55" i="26"/>
  <c r="I141" i="18"/>
  <c r="D60" i="18"/>
  <c r="E60" i="18" s="1"/>
  <c r="H59" i="18"/>
  <c r="G59" i="18"/>
  <c r="F54" i="29"/>
  <c r="B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H143" i="4" s="1"/>
  <c r="I135" i="35"/>
  <c r="I142" i="4"/>
  <c r="B136" i="35"/>
  <c r="B140" i="28"/>
  <c r="I135" i="31"/>
  <c r="G138" i="25"/>
  <c r="D139" i="25"/>
  <c r="E136" i="31"/>
  <c r="F136" i="31" s="1"/>
  <c r="H136" i="31" s="1"/>
  <c r="B136" i="31"/>
  <c r="J138" i="24"/>
  <c r="I134" i="37"/>
  <c r="E135" i="37"/>
  <c r="F135" i="37" s="1"/>
  <c r="H135" i="37" s="1"/>
  <c r="B135" i="37"/>
  <c r="J138" i="21"/>
  <c r="J138" i="27"/>
  <c r="D136" i="34"/>
  <c r="G135" i="34"/>
  <c r="G135" i="38"/>
  <c r="D136" i="38"/>
  <c r="I140" i="29"/>
  <c r="D137" i="13"/>
  <c r="G136" i="13"/>
  <c r="G139" i="21"/>
  <c r="D140" i="21"/>
  <c r="I141" i="19"/>
  <c r="D140" i="24"/>
  <c r="G139" i="24"/>
  <c r="G139" i="27"/>
  <c r="D140" i="27"/>
  <c r="B142" i="19"/>
  <c r="I142" i="3"/>
  <c r="F136" i="20"/>
  <c r="B136" i="20"/>
  <c r="B139" i="22"/>
  <c r="I135" i="20"/>
  <c r="H135" i="20"/>
  <c r="I143" i="23"/>
  <c r="I138" i="22"/>
  <c r="B143" i="3"/>
  <c r="E139" i="22"/>
  <c r="F139" i="22" s="1"/>
  <c r="H139" i="22" s="1"/>
  <c r="E143" i="3"/>
  <c r="F143" i="3" s="1"/>
  <c r="H143" i="3" s="1"/>
  <c r="B52" i="39" l="1"/>
  <c r="F52" i="39"/>
  <c r="G52" i="39"/>
  <c r="I51" i="39"/>
  <c r="E140" i="21"/>
  <c r="E140" i="27"/>
  <c r="E140" i="24"/>
  <c r="F140" i="24" s="1"/>
  <c r="H140" i="24" s="1"/>
  <c r="E139" i="25"/>
  <c r="F139" i="25" s="1"/>
  <c r="H139" i="25" s="1"/>
  <c r="E136" i="38"/>
  <c r="E136" i="34"/>
  <c r="G135" i="39"/>
  <c r="D136" i="39"/>
  <c r="J138" i="26"/>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H57" i="23"/>
  <c r="D54" i="35"/>
  <c r="E54" i="35" s="1"/>
  <c r="I59" i="18"/>
  <c r="D54" i="34"/>
  <c r="E54" i="34" s="1"/>
  <c r="D53" i="37"/>
  <c r="E53" i="37" s="1"/>
  <c r="D58" i="27"/>
  <c r="E58" i="27" s="1"/>
  <c r="F57" i="22"/>
  <c r="B57" i="22"/>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J135" i="31"/>
  <c r="J141" i="19"/>
  <c r="G136" i="31"/>
  <c r="D137" i="31"/>
  <c r="B139" i="25"/>
  <c r="I138" i="25"/>
  <c r="B137" i="13"/>
  <c r="F136" i="38"/>
  <c r="H136" i="38" s="1"/>
  <c r="B136" i="38"/>
  <c r="E137" i="13"/>
  <c r="F137" i="13" s="1"/>
  <c r="I135" i="38"/>
  <c r="H136" i="13"/>
  <c r="I136" i="13"/>
  <c r="I135" i="34"/>
  <c r="I139" i="27"/>
  <c r="G142" i="19"/>
  <c r="D143" i="19"/>
  <c r="I139" i="24"/>
  <c r="B136" i="34"/>
  <c r="F136" i="34"/>
  <c r="H136" i="34" s="1"/>
  <c r="B140" i="24"/>
  <c r="B140" i="21"/>
  <c r="F140" i="21"/>
  <c r="H140" i="21" s="1"/>
  <c r="G141" i="29"/>
  <c r="D142" i="29"/>
  <c r="F140" i="27"/>
  <c r="H140" i="27" s="1"/>
  <c r="B140" i="27"/>
  <c r="I139" i="21"/>
  <c r="D144" i="3"/>
  <c r="G143" i="3"/>
  <c r="G139" i="22"/>
  <c r="D140" i="22"/>
  <c r="D137" i="20"/>
  <c r="E137" i="20" s="1"/>
  <c r="G136" i="20"/>
  <c r="J135" i="20"/>
  <c r="J138" i="22"/>
  <c r="J143" i="23"/>
  <c r="G144" i="23"/>
  <c r="D145" i="23"/>
  <c r="H52" i="39" l="1"/>
  <c r="I52" i="39" s="1"/>
  <c r="D53" i="39"/>
  <c r="E53" i="39" s="1"/>
  <c r="E143" i="19"/>
  <c r="E144" i="3"/>
  <c r="F144" i="3" s="1"/>
  <c r="H144" i="3" s="1"/>
  <c r="E140" i="22"/>
  <c r="E145" i="23"/>
  <c r="F145" i="23" s="1"/>
  <c r="H145" i="23" s="1"/>
  <c r="B136" i="37"/>
  <c r="B136" i="39"/>
  <c r="E136" i="39"/>
  <c r="F136" i="39" s="1"/>
  <c r="H136" i="39" s="1"/>
  <c r="I135" i="39"/>
  <c r="G60" i="18"/>
  <c r="I60" i="18" s="1"/>
  <c r="E59" i="24"/>
  <c r="F59" i="24" s="1"/>
  <c r="B59" i="24"/>
  <c r="E140" i="26"/>
  <c r="F140" i="26" s="1"/>
  <c r="H140" i="26" s="1"/>
  <c r="B140" i="26"/>
  <c r="I139" i="26"/>
  <c r="G61" i="4"/>
  <c r="I61" i="4" s="1"/>
  <c r="I55" i="13"/>
  <c r="I54" i="29"/>
  <c r="I57" i="28"/>
  <c r="G60" i="19"/>
  <c r="I60" i="19" s="1"/>
  <c r="E143" i="18"/>
  <c r="F143" i="18" s="1"/>
  <c r="H143" i="18" s="1"/>
  <c r="B143" i="18"/>
  <c r="I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E56" i="13"/>
  <c r="F56" i="13" s="1"/>
  <c r="I143" i="4"/>
  <c r="I136" i="35"/>
  <c r="E144" i="4"/>
  <c r="F144" i="4" s="1"/>
  <c r="H144" i="4" s="1"/>
  <c r="B144" i="4"/>
  <c r="E136" i="37"/>
  <c r="F136" i="37" s="1"/>
  <c r="H136" i="37" s="1"/>
  <c r="E137" i="35"/>
  <c r="F137" i="35" s="1"/>
  <c r="H137" i="35" s="1"/>
  <c r="B137" i="35"/>
  <c r="E137" i="31"/>
  <c r="F137" i="31" s="1"/>
  <c r="H137" i="31" s="1"/>
  <c r="B137" i="31"/>
  <c r="I136" i="31"/>
  <c r="D140" i="25"/>
  <c r="G139" i="25"/>
  <c r="B141" i="28"/>
  <c r="I135" i="37"/>
  <c r="J139" i="27"/>
  <c r="J139" i="24"/>
  <c r="J139" i="21"/>
  <c r="I141" i="29"/>
  <c r="D138" i="13"/>
  <c r="E138" i="13" s="1"/>
  <c r="G137" i="13"/>
  <c r="G140" i="27"/>
  <c r="D141" i="27"/>
  <c r="D137" i="34"/>
  <c r="G136" i="34"/>
  <c r="I142" i="19"/>
  <c r="G140" i="21"/>
  <c r="D141" i="21"/>
  <c r="E142" i="29"/>
  <c r="F142" i="29" s="1"/>
  <c r="H142" i="29" s="1"/>
  <c r="G140" i="24"/>
  <c r="D141" i="24"/>
  <c r="F143" i="19"/>
  <c r="H143" i="19" s="1"/>
  <c r="B143" i="19"/>
  <c r="G136" i="38"/>
  <c r="D137" i="38"/>
  <c r="I136" i="20"/>
  <c r="H136" i="20"/>
  <c r="I139" i="22"/>
  <c r="I144" i="23"/>
  <c r="F137" i="20"/>
  <c r="B137" i="20"/>
  <c r="I143" i="3"/>
  <c r="F140" i="22"/>
  <c r="H140" i="22" s="1"/>
  <c r="B140" i="22"/>
  <c r="B144" i="3"/>
  <c r="F53" i="39" l="1"/>
  <c r="B53" i="39"/>
  <c r="G53" i="39"/>
  <c r="E141" i="21"/>
  <c r="F141" i="21" s="1"/>
  <c r="H141" i="21" s="1"/>
  <c r="E141" i="24"/>
  <c r="F141" i="24" s="1"/>
  <c r="H141" i="24" s="1"/>
  <c r="E141" i="27"/>
  <c r="H140" i="25"/>
  <c r="E137" i="38"/>
  <c r="F137" i="38" s="1"/>
  <c r="H137" i="38" s="1"/>
  <c r="D137" i="39"/>
  <c r="G136" i="39"/>
  <c r="G54" i="34"/>
  <c r="I54" i="34" s="1"/>
  <c r="D60" i="24"/>
  <c r="E60" i="24" s="1"/>
  <c r="F60" i="24" s="1"/>
  <c r="D61" i="24" s="1"/>
  <c r="H59" i="24"/>
  <c r="G59" i="24"/>
  <c r="D141" i="26"/>
  <c r="G140" i="26"/>
  <c r="J139" i="26"/>
  <c r="J136" i="31"/>
  <c r="J140" i="28"/>
  <c r="H54" i="35"/>
  <c r="I54" i="35" s="1"/>
  <c r="I62" i="3"/>
  <c r="G143" i="18"/>
  <c r="D144" i="18"/>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7"/>
  <c r="E59" i="27" s="1"/>
  <c r="B62" i="4"/>
  <c r="F62" i="4"/>
  <c r="D55" i="35"/>
  <c r="E55" i="35" s="1"/>
  <c r="G58" i="27"/>
  <c r="I58" i="27" s="1"/>
  <c r="I58" i="28"/>
  <c r="D55" i="34"/>
  <c r="E55" i="34" s="1"/>
  <c r="I57" i="22"/>
  <c r="G52" i="38"/>
  <c r="I52" i="38" s="1"/>
  <c r="H53" i="37"/>
  <c r="I53" i="37" s="1"/>
  <c r="D59" i="23"/>
  <c r="E59" i="23" s="1"/>
  <c r="E61" i="18"/>
  <c r="F61" i="18" s="1"/>
  <c r="B58" i="22"/>
  <c r="F58" i="22"/>
  <c r="G58" i="22" s="1"/>
  <c r="B63" i="3"/>
  <c r="F63" i="3"/>
  <c r="G63" i="3" s="1"/>
  <c r="G144" i="4"/>
  <c r="D145" i="4"/>
  <c r="D137" i="37"/>
  <c r="G136" i="37"/>
  <c r="G137" i="35"/>
  <c r="D138" i="35"/>
  <c r="J143" i="4"/>
  <c r="E140" i="25"/>
  <c r="F140" i="25" s="1"/>
  <c r="B140" i="25"/>
  <c r="G137" i="31"/>
  <c r="D138" i="31"/>
  <c r="I139" i="25"/>
  <c r="G142" i="29"/>
  <c r="D143" i="29"/>
  <c r="B137" i="34"/>
  <c r="H137" i="13"/>
  <c r="I137" i="13"/>
  <c r="I136" i="38"/>
  <c r="B141" i="21"/>
  <c r="B141" i="27"/>
  <c r="F141" i="27"/>
  <c r="H141" i="27" s="1"/>
  <c r="F138" i="13"/>
  <c r="B138" i="13"/>
  <c r="I140" i="21"/>
  <c r="I140" i="27"/>
  <c r="B137" i="38"/>
  <c r="G143" i="19"/>
  <c r="D144" i="19"/>
  <c r="J143" i="3"/>
  <c r="J142" i="19"/>
  <c r="B141" i="24"/>
  <c r="E137" i="34"/>
  <c r="F137" i="34" s="1"/>
  <c r="H137" i="34" s="1"/>
  <c r="J144" i="23"/>
  <c r="I140" i="24"/>
  <c r="I136" i="34"/>
  <c r="J139" i="22"/>
  <c r="G140" i="22"/>
  <c r="D141" i="22"/>
  <c r="J136" i="20"/>
  <c r="G137" i="20"/>
  <c r="D138" i="20"/>
  <c r="E138" i="20" s="1"/>
  <c r="G144" i="3"/>
  <c r="D145" i="3"/>
  <c r="G145" i="23"/>
  <c r="D146" i="23"/>
  <c r="H53" i="39" l="1"/>
  <c r="I53" i="39" s="1"/>
  <c r="D54" i="39"/>
  <c r="E54" i="39"/>
  <c r="E144" i="19"/>
  <c r="F144" i="19" s="1"/>
  <c r="H144" i="19" s="1"/>
  <c r="E146" i="23"/>
  <c r="E145" i="3"/>
  <c r="F145" i="3" s="1"/>
  <c r="H145" i="3" s="1"/>
  <c r="B144" i="18"/>
  <c r="E141" i="22"/>
  <c r="F141" i="22" s="1"/>
  <c r="H141" i="22" s="1"/>
  <c r="E138" i="35"/>
  <c r="F138" i="35" s="1"/>
  <c r="H138" i="35" s="1"/>
  <c r="E138" i="31"/>
  <c r="F138" i="31" s="1"/>
  <c r="H138" i="31" s="1"/>
  <c r="E143" i="29"/>
  <c r="F143" i="29" s="1"/>
  <c r="H143" i="29" s="1"/>
  <c r="I136" i="39"/>
  <c r="E137" i="39"/>
  <c r="F137" i="39" s="1"/>
  <c r="H137" i="39" s="1"/>
  <c r="B137" i="39"/>
  <c r="I59" i="24"/>
  <c r="E61" i="24"/>
  <c r="F61" i="24" s="1"/>
  <c r="B61" i="24"/>
  <c r="B60" i="24"/>
  <c r="G60" i="24"/>
  <c r="H60" i="24"/>
  <c r="I140" i="26"/>
  <c r="E141" i="26"/>
  <c r="F141" i="26" s="1"/>
  <c r="H141" i="26" s="1"/>
  <c r="B141" i="26"/>
  <c r="E144" i="18"/>
  <c r="F144" i="18" s="1"/>
  <c r="H144" i="18" s="1"/>
  <c r="G59" i="21"/>
  <c r="I59" i="21" s="1"/>
  <c r="I58" i="23"/>
  <c r="I57" i="26"/>
  <c r="I143" i="18"/>
  <c r="D62" i="18"/>
  <c r="E62" i="18" s="1"/>
  <c r="H61" i="18"/>
  <c r="G61" i="18"/>
  <c r="B55" i="35"/>
  <c r="F55" i="35"/>
  <c r="H55" i="35" s="1"/>
  <c r="B57" i="25"/>
  <c r="D64" i="3"/>
  <c r="E64" i="3" s="1"/>
  <c r="D63" i="4"/>
  <c r="E63" i="4"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B138" i="35"/>
  <c r="I136" i="37"/>
  <c r="I137" i="35"/>
  <c r="B137" i="37"/>
  <c r="E137" i="37"/>
  <c r="F137" i="37" s="1"/>
  <c r="H137" i="37" s="1"/>
  <c r="B145" i="4"/>
  <c r="E145" i="4"/>
  <c r="F145" i="4" s="1"/>
  <c r="H145" i="4" s="1"/>
  <c r="I144" i="4"/>
  <c r="B142" i="28"/>
  <c r="B138" i="31"/>
  <c r="I137" i="31"/>
  <c r="D141" i="25"/>
  <c r="G140" i="25"/>
  <c r="J140" i="21"/>
  <c r="D138" i="34"/>
  <c r="G137" i="34"/>
  <c r="G141" i="24"/>
  <c r="D142" i="24"/>
  <c r="I143" i="19"/>
  <c r="B144" i="19"/>
  <c r="D142" i="21"/>
  <c r="G141" i="21"/>
  <c r="D142" i="27"/>
  <c r="G141" i="27"/>
  <c r="D138" i="38"/>
  <c r="G137" i="38"/>
  <c r="J140" i="27"/>
  <c r="J140" i="24"/>
  <c r="G138" i="13"/>
  <c r="D139" i="13"/>
  <c r="I142" i="29"/>
  <c r="I144" i="3"/>
  <c r="I145" i="23"/>
  <c r="H137" i="20"/>
  <c r="I137" i="20"/>
  <c r="F138" i="20"/>
  <c r="B138" i="20"/>
  <c r="I140" i="22"/>
  <c r="F146" i="23"/>
  <c r="H146" i="23" s="1"/>
  <c r="B145" i="3"/>
  <c r="B141" i="22"/>
  <c r="B54" i="39" l="1"/>
  <c r="F54" i="39"/>
  <c r="H54" i="39"/>
  <c r="E142" i="27"/>
  <c r="F142" i="27" s="1"/>
  <c r="H142" i="27" s="1"/>
  <c r="E142" i="24"/>
  <c r="E138" i="38"/>
  <c r="F138" i="38" s="1"/>
  <c r="H138" i="38" s="1"/>
  <c r="E138" i="34"/>
  <c r="D138" i="39"/>
  <c r="G137" i="39"/>
  <c r="I60" i="24"/>
  <c r="G61" i="24"/>
  <c r="D62" i="24"/>
  <c r="H61" i="24"/>
  <c r="J143" i="18"/>
  <c r="J140" i="26"/>
  <c r="J137" i="20"/>
  <c r="D142" i="26"/>
  <c r="G141" i="26"/>
  <c r="I62" i="4"/>
  <c r="G55" i="34"/>
  <c r="I55" i="34" s="1"/>
  <c r="H53" i="38"/>
  <c r="I53" i="38" s="1"/>
  <c r="J143" i="19"/>
  <c r="G144" i="18"/>
  <c r="D145" i="18"/>
  <c r="G59" i="27"/>
  <c r="I59" i="27" s="1"/>
  <c r="I59" i="28"/>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F62" i="18"/>
  <c r="H62" i="18" s="1"/>
  <c r="B62" i="18"/>
  <c r="G137" i="37"/>
  <c r="D138" i="37"/>
  <c r="J145" i="23"/>
  <c r="J141" i="28"/>
  <c r="J137" i="31"/>
  <c r="D139" i="35"/>
  <c r="G138" i="35"/>
  <c r="G145" i="4"/>
  <c r="D146" i="4"/>
  <c r="G138" i="31"/>
  <c r="D139" i="31"/>
  <c r="I140" i="25"/>
  <c r="E141" i="25"/>
  <c r="F141" i="25" s="1"/>
  <c r="H141" i="25" s="1"/>
  <c r="B141" i="25"/>
  <c r="D144" i="29"/>
  <c r="G143" i="29"/>
  <c r="B138" i="38"/>
  <c r="I137" i="38"/>
  <c r="D145" i="19"/>
  <c r="G144" i="19"/>
  <c r="B142" i="24"/>
  <c r="F142" i="24"/>
  <c r="H142" i="24" s="1"/>
  <c r="B142" i="21"/>
  <c r="B139" i="13"/>
  <c r="I141" i="24"/>
  <c r="E139" i="13"/>
  <c r="F139" i="13" s="1"/>
  <c r="I141" i="27"/>
  <c r="E142" i="21"/>
  <c r="F142" i="21" s="1"/>
  <c r="H142" i="21" s="1"/>
  <c r="I137" i="34"/>
  <c r="I138" i="13"/>
  <c r="H138" i="13"/>
  <c r="B142" i="27"/>
  <c r="I141" i="21"/>
  <c r="B138" i="34"/>
  <c r="F138" i="34"/>
  <c r="H138" i="34" s="1"/>
  <c r="D142" i="22"/>
  <c r="G141" i="22"/>
  <c r="G145" i="3"/>
  <c r="D146" i="3"/>
  <c r="D139" i="20"/>
  <c r="E139" i="20" s="1"/>
  <c r="G138" i="20"/>
  <c r="G146" i="23"/>
  <c r="D147" i="23"/>
  <c r="J140" i="22"/>
  <c r="G54" i="39" l="1"/>
  <c r="I54" i="39" s="1"/>
  <c r="D55" i="39"/>
  <c r="E55" i="39"/>
  <c r="E145" i="19"/>
  <c r="E146" i="3"/>
  <c r="F146" i="3" s="1"/>
  <c r="H146" i="3" s="1"/>
  <c r="B138" i="37"/>
  <c r="E144" i="29"/>
  <c r="F144" i="29" s="1"/>
  <c r="H144" i="29" s="1"/>
  <c r="I137" i="39"/>
  <c r="E138" i="39"/>
  <c r="F138" i="39" s="1"/>
  <c r="H138" i="39" s="1"/>
  <c r="B138" i="39"/>
  <c r="I61" i="24"/>
  <c r="E62" i="24"/>
  <c r="F62" i="24" s="1"/>
  <c r="G62" i="24" s="1"/>
  <c r="B62" i="24"/>
  <c r="H59" i="22"/>
  <c r="I59" i="22" s="1"/>
  <c r="I141" i="26"/>
  <c r="E142" i="26"/>
  <c r="F142" i="26" s="1"/>
  <c r="H142" i="26" s="1"/>
  <c r="B142" i="26"/>
  <c r="I59" i="23"/>
  <c r="J141" i="27"/>
  <c r="E145" i="18"/>
  <c r="F145" i="18" s="1"/>
  <c r="H145" i="18" s="1"/>
  <c r="B145" i="18"/>
  <c r="I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I138" i="35"/>
  <c r="E139" i="35"/>
  <c r="F139" i="35" s="1"/>
  <c r="H139" i="35" s="1"/>
  <c r="B139" i="35"/>
  <c r="E138" i="37"/>
  <c r="F138" i="37" s="1"/>
  <c r="H138" i="37" s="1"/>
  <c r="E146" i="4"/>
  <c r="F146" i="4" s="1"/>
  <c r="H146" i="4" s="1"/>
  <c r="B146" i="4"/>
  <c r="I145" i="4"/>
  <c r="I137" i="37"/>
  <c r="G141" i="25"/>
  <c r="D142" i="25"/>
  <c r="B143" i="28"/>
  <c r="E139" i="31"/>
  <c r="F139" i="31" s="1"/>
  <c r="H139" i="31" s="1"/>
  <c r="B139" i="31"/>
  <c r="I138" i="31"/>
  <c r="D140" i="13"/>
  <c r="E140" i="13" s="1"/>
  <c r="G139" i="13"/>
  <c r="G142" i="21"/>
  <c r="D143" i="21"/>
  <c r="B145" i="19"/>
  <c r="F145" i="19"/>
  <c r="H145" i="19" s="1"/>
  <c r="G142" i="27"/>
  <c r="D143" i="27"/>
  <c r="G142" i="24"/>
  <c r="D143" i="24"/>
  <c r="G138" i="38"/>
  <c r="D139" i="38"/>
  <c r="D139" i="34"/>
  <c r="G138" i="34"/>
  <c r="J141" i="24"/>
  <c r="I143" i="29"/>
  <c r="I144" i="19"/>
  <c r="I145" i="3"/>
  <c r="B146" i="3"/>
  <c r="E147" i="23"/>
  <c r="F147" i="23" s="1"/>
  <c r="H147" i="23" s="1"/>
  <c r="I141" i="22"/>
  <c r="I146" i="23"/>
  <c r="B142" i="22"/>
  <c r="F139" i="20"/>
  <c r="B139" i="20"/>
  <c r="I138" i="20"/>
  <c r="H138" i="20"/>
  <c r="E142" i="22"/>
  <c r="F142" i="22" s="1"/>
  <c r="H142" i="22" s="1"/>
  <c r="F55" i="39" l="1"/>
  <c r="B55" i="39"/>
  <c r="G55" i="39"/>
  <c r="E143" i="21"/>
  <c r="F143" i="21" s="1"/>
  <c r="H143" i="21" s="1"/>
  <c r="E143" i="24"/>
  <c r="E143" i="27"/>
  <c r="E139" i="38"/>
  <c r="F139" i="38" s="1"/>
  <c r="H139" i="38" s="1"/>
  <c r="E139" i="34"/>
  <c r="D139" i="39"/>
  <c r="G138" i="39"/>
  <c r="H62" i="24"/>
  <c r="I62" i="24" s="1"/>
  <c r="D63" i="24"/>
  <c r="D143" i="26"/>
  <c r="G142" i="26"/>
  <c r="G59" i="26"/>
  <c r="I59" i="26" s="1"/>
  <c r="J141" i="26"/>
  <c r="J144" i="18"/>
  <c r="D146" i="18"/>
  <c r="G145" i="18"/>
  <c r="H56" i="35"/>
  <c r="I56" i="35" s="1"/>
  <c r="G55" i="37"/>
  <c r="I55" i="37" s="1"/>
  <c r="G58" i="25"/>
  <c r="I58" i="25" s="1"/>
  <c r="I60" i="28"/>
  <c r="G60" i="23"/>
  <c r="I60" i="23" s="1"/>
  <c r="B65" i="3"/>
  <c r="F65" i="3"/>
  <c r="D61" i="27"/>
  <c r="E61" i="27" s="1"/>
  <c r="B61" i="21"/>
  <c r="F61" i="21"/>
  <c r="D55" i="38"/>
  <c r="E55" i="3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J145" i="4"/>
  <c r="G139" i="31"/>
  <c r="D140" i="31"/>
  <c r="J142" i="28"/>
  <c r="E142" i="25"/>
  <c r="F142" i="25" s="1"/>
  <c r="H142" i="25" s="1"/>
  <c r="B142" i="25"/>
  <c r="J141" i="22"/>
  <c r="I141" i="25"/>
  <c r="J146" i="23"/>
  <c r="J138" i="20"/>
  <c r="B139" i="38"/>
  <c r="G144" i="29"/>
  <c r="D145" i="29"/>
  <c r="B143" i="21"/>
  <c r="I138" i="38"/>
  <c r="F143" i="27"/>
  <c r="H143" i="27" s="1"/>
  <c r="B143" i="27"/>
  <c r="I142" i="21"/>
  <c r="I142" i="27"/>
  <c r="H139" i="13"/>
  <c r="I139" i="13"/>
  <c r="I138" i="34"/>
  <c r="B143" i="24"/>
  <c r="F143" i="24"/>
  <c r="H143" i="24" s="1"/>
  <c r="G145" i="19"/>
  <c r="D146" i="19"/>
  <c r="J144" i="19"/>
  <c r="F139" i="34"/>
  <c r="H139" i="34" s="1"/>
  <c r="B139" i="34"/>
  <c r="I142" i="24"/>
  <c r="F140" i="13"/>
  <c r="B140" i="13"/>
  <c r="D148" i="23"/>
  <c r="G147" i="23"/>
  <c r="D143" i="22"/>
  <c r="G142" i="22"/>
  <c r="G146" i="3"/>
  <c r="D147" i="3"/>
  <c r="D140" i="20"/>
  <c r="E140" i="20" s="1"/>
  <c r="G139" i="20"/>
  <c r="J145" i="3"/>
  <c r="H55" i="39" l="1"/>
  <c r="I55" i="39" s="1"/>
  <c r="D56" i="39"/>
  <c r="E143" i="22"/>
  <c r="E148" i="23"/>
  <c r="F148" i="23" s="1"/>
  <c r="H148" i="23" s="1"/>
  <c r="E139" i="37"/>
  <c r="F139" i="37" s="1"/>
  <c r="H139" i="37" s="1"/>
  <c r="E145" i="29"/>
  <c r="F145" i="29" s="1"/>
  <c r="H145" i="29" s="1"/>
  <c r="I138" i="39"/>
  <c r="E139" i="39"/>
  <c r="F139" i="39" s="1"/>
  <c r="H139" i="39" s="1"/>
  <c r="B139" i="39"/>
  <c r="E63" i="24"/>
  <c r="F63" i="24" s="1"/>
  <c r="G63" i="24" s="1"/>
  <c r="B63" i="24"/>
  <c r="G64" i="4"/>
  <c r="I64" i="4" s="1"/>
  <c r="I142" i="26"/>
  <c r="E143" i="26"/>
  <c r="F143" i="26" s="1"/>
  <c r="H143" i="26" s="1"/>
  <c r="B143" i="26"/>
  <c r="J142" i="27"/>
  <c r="I145" i="18"/>
  <c r="E146" i="18"/>
  <c r="F146" i="18" s="1"/>
  <c r="H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B61" i="28"/>
  <c r="B57" i="34"/>
  <c r="F57" i="34"/>
  <c r="F61" i="27"/>
  <c r="B61" i="27"/>
  <c r="F56" i="37"/>
  <c r="G56" i="37" s="1"/>
  <c r="B56" i="37"/>
  <c r="D64" i="19"/>
  <c r="E64" i="19" s="1"/>
  <c r="D61" i="22"/>
  <c r="E61" i="22" s="1"/>
  <c r="G63" i="18"/>
  <c r="I63" i="18" s="1"/>
  <c r="F55" i="38"/>
  <c r="H55" i="38" s="1"/>
  <c r="B55" i="38"/>
  <c r="H65" i="3"/>
  <c r="B139" i="37"/>
  <c r="I138" i="37"/>
  <c r="I146" i="4"/>
  <c r="B147" i="4"/>
  <c r="E147" i="4"/>
  <c r="F147" i="4" s="1"/>
  <c r="H147" i="4" s="1"/>
  <c r="I139" i="35"/>
  <c r="E140" i="35"/>
  <c r="F140" i="35" s="1"/>
  <c r="H140" i="35" s="1"/>
  <c r="B140" i="35"/>
  <c r="G142" i="25"/>
  <c r="D143" i="25"/>
  <c r="B144" i="28"/>
  <c r="B140" i="31"/>
  <c r="I139" i="31"/>
  <c r="E140" i="31"/>
  <c r="F140" i="31" s="1"/>
  <c r="H140" i="31" s="1"/>
  <c r="B146" i="19"/>
  <c r="I145" i="19"/>
  <c r="J142" i="21"/>
  <c r="D140" i="38"/>
  <c r="G139" i="38"/>
  <c r="G143" i="24"/>
  <c r="D144" i="24"/>
  <c r="G143" i="27"/>
  <c r="D144" i="27"/>
  <c r="I144" i="29"/>
  <c r="J142" i="24"/>
  <c r="G143" i="21"/>
  <c r="D144" i="21"/>
  <c r="D141" i="13"/>
  <c r="E141" i="13" s="1"/>
  <c r="G140" i="13"/>
  <c r="D140" i="34"/>
  <c r="G139" i="34"/>
  <c r="E146" i="19"/>
  <c r="F146" i="19" s="1"/>
  <c r="H146" i="19" s="1"/>
  <c r="I142" i="22"/>
  <c r="B147" i="3"/>
  <c r="I146" i="3"/>
  <c r="H139" i="20"/>
  <c r="I139" i="20"/>
  <c r="B143" i="22"/>
  <c r="F143" i="22"/>
  <c r="H143" i="22" s="1"/>
  <c r="I147" i="23"/>
  <c r="E147" i="3"/>
  <c r="F147" i="3" s="1"/>
  <c r="H147" i="3" s="1"/>
  <c r="B140" i="20"/>
  <c r="F140" i="20"/>
  <c r="E56" i="39" l="1"/>
  <c r="B56" i="39"/>
  <c r="F56" i="39"/>
  <c r="D57" i="39" s="1"/>
  <c r="G56" i="39"/>
  <c r="E144" i="27"/>
  <c r="F144" i="27" s="1"/>
  <c r="H144" i="27" s="1"/>
  <c r="E144" i="21"/>
  <c r="F144" i="21" s="1"/>
  <c r="H144" i="21" s="1"/>
  <c r="E144" i="24"/>
  <c r="F144" i="24" s="1"/>
  <c r="H144" i="24" s="1"/>
  <c r="E140" i="38"/>
  <c r="F140" i="38" s="1"/>
  <c r="H140" i="38" s="1"/>
  <c r="D140" i="39"/>
  <c r="G139" i="39"/>
  <c r="E140" i="39"/>
  <c r="I65" i="3"/>
  <c r="H63" i="24"/>
  <c r="I63" i="24" s="1"/>
  <c r="D64" i="24"/>
  <c r="J142" i="26"/>
  <c r="D144" i="26"/>
  <c r="G143" i="26"/>
  <c r="J145" i="18"/>
  <c r="D147" i="18"/>
  <c r="G146" i="18"/>
  <c r="J146" i="3"/>
  <c r="G57" i="31"/>
  <c r="I57" i="31" s="1"/>
  <c r="H56" i="37"/>
  <c r="I56" i="37" s="1"/>
  <c r="I61" i="28"/>
  <c r="G59" i="25"/>
  <c r="I59" i="25" s="1"/>
  <c r="H58" i="29"/>
  <c r="I58" i="29" s="1"/>
  <c r="I61" i="21"/>
  <c r="D62" i="27"/>
  <c r="E62" i="27" s="1"/>
  <c r="D58" i="35"/>
  <c r="E58" i="35" s="1"/>
  <c r="F64" i="19"/>
  <c r="H64" i="19" s="1"/>
  <c r="B64" i="19"/>
  <c r="G61" i="27"/>
  <c r="D62" i="23"/>
  <c r="J139" i="31"/>
  <c r="D56" i="38"/>
  <c r="E56" i="38" s="1"/>
  <c r="D58" i="34"/>
  <c r="E58" i="34" s="1"/>
  <c r="D60" i="25"/>
  <c r="E60" i="25" s="1"/>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G139" i="37"/>
  <c r="J143" i="28"/>
  <c r="D141" i="31"/>
  <c r="G140" i="31"/>
  <c r="E143" i="25"/>
  <c r="F143" i="25" s="1"/>
  <c r="H143" i="25" s="1"/>
  <c r="B143" i="25"/>
  <c r="J139" i="20"/>
  <c r="J145" i="19"/>
  <c r="I142" i="25"/>
  <c r="G146" i="19"/>
  <c r="D147" i="19"/>
  <c r="B140" i="34"/>
  <c r="G145" i="29"/>
  <c r="D146" i="29"/>
  <c r="B144" i="21"/>
  <c r="I143" i="21"/>
  <c r="B144" i="24"/>
  <c r="I139" i="34"/>
  <c r="I143" i="24"/>
  <c r="I140" i="13"/>
  <c r="H140" i="13"/>
  <c r="B144" i="27"/>
  <c r="B140" i="38"/>
  <c r="E140" i="34"/>
  <c r="F140" i="34" s="1"/>
  <c r="H140" i="34" s="1"/>
  <c r="B141" i="13"/>
  <c r="F141" i="13"/>
  <c r="I143" i="27"/>
  <c r="I139" i="38"/>
  <c r="G148" i="23"/>
  <c r="D149" i="23"/>
  <c r="J147" i="23"/>
  <c r="D144" i="22"/>
  <c r="G143" i="22"/>
  <c r="D148" i="3"/>
  <c r="G147" i="3"/>
  <c r="G140" i="20"/>
  <c r="D141" i="20"/>
  <c r="E141" i="20" s="1"/>
  <c r="J142" i="22"/>
  <c r="E57" i="39" l="1"/>
  <c r="F57" i="39" s="1"/>
  <c r="G57" i="39" s="1"/>
  <c r="B57" i="39"/>
  <c r="H56" i="39"/>
  <c r="I56" i="39" s="1"/>
  <c r="E148" i="3"/>
  <c r="F148" i="3" s="1"/>
  <c r="H148" i="3" s="1"/>
  <c r="E144" i="22"/>
  <c r="F144" i="22" s="1"/>
  <c r="H144" i="22" s="1"/>
  <c r="E140" i="37"/>
  <c r="F140" i="37" s="1"/>
  <c r="H140" i="37" s="1"/>
  <c r="E146" i="29"/>
  <c r="F146" i="29" s="1"/>
  <c r="H146" i="29" s="1"/>
  <c r="B145" i="28"/>
  <c r="I139" i="39"/>
  <c r="F140" i="39"/>
  <c r="H140" i="39" s="1"/>
  <c r="B140" i="39"/>
  <c r="E64" i="24"/>
  <c r="F64" i="24" s="1"/>
  <c r="G64" i="24" s="1"/>
  <c r="B64" i="24"/>
  <c r="I143" i="26"/>
  <c r="E144" i="26"/>
  <c r="F144" i="26" s="1"/>
  <c r="H144" i="26" s="1"/>
  <c r="B144" i="26"/>
  <c r="I146" i="18"/>
  <c r="E147" i="18"/>
  <c r="F147" i="18" s="1"/>
  <c r="H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G64" i="19"/>
  <c r="I64" i="19" s="1"/>
  <c r="B62" i="27"/>
  <c r="F62" i="27"/>
  <c r="G62" i="27" s="1"/>
  <c r="B140" i="37"/>
  <c r="I140" i="35"/>
  <c r="B141" i="35"/>
  <c r="E141" i="35"/>
  <c r="F141" i="35" s="1"/>
  <c r="H141" i="35" s="1"/>
  <c r="I147" i="4"/>
  <c r="I139" i="37"/>
  <c r="E148" i="4"/>
  <c r="F148" i="4" s="1"/>
  <c r="H148" i="4" s="1"/>
  <c r="B148" i="4"/>
  <c r="G143" i="25"/>
  <c r="D144" i="25"/>
  <c r="I140" i="31"/>
  <c r="E141" i="31"/>
  <c r="F141" i="31" s="1"/>
  <c r="H141" i="31" s="1"/>
  <c r="B141" i="31"/>
  <c r="D145" i="21"/>
  <c r="G144" i="21"/>
  <c r="J143" i="24"/>
  <c r="G140" i="34"/>
  <c r="D141" i="34"/>
  <c r="G144" i="24"/>
  <c r="D145" i="24"/>
  <c r="J143" i="21"/>
  <c r="D141" i="38"/>
  <c r="G140" i="38"/>
  <c r="D145" i="27"/>
  <c r="G144" i="27"/>
  <c r="B147" i="19"/>
  <c r="J143" i="27"/>
  <c r="I145" i="29"/>
  <c r="E147" i="19"/>
  <c r="F147" i="19" s="1"/>
  <c r="H147" i="19" s="1"/>
  <c r="D142" i="13"/>
  <c r="E142" i="13" s="1"/>
  <c r="G141" i="13"/>
  <c r="I146" i="19"/>
  <c r="B144" i="22"/>
  <c r="I143" i="22"/>
  <c r="I140" i="20"/>
  <c r="H140" i="20"/>
  <c r="I147" i="3"/>
  <c r="I148" i="23"/>
  <c r="E149" i="23"/>
  <c r="F149" i="23" s="1"/>
  <c r="H149" i="23" s="1"/>
  <c r="B141" i="20"/>
  <c r="F141" i="20"/>
  <c r="B148" i="3"/>
  <c r="H57" i="39" l="1"/>
  <c r="I57" i="39" s="1"/>
  <c r="D58" i="39"/>
  <c r="E145" i="21"/>
  <c r="F145" i="21" s="1"/>
  <c r="H145" i="21" s="1"/>
  <c r="B144" i="25"/>
  <c r="E145" i="27"/>
  <c r="E141" i="38"/>
  <c r="F141" i="38" s="1"/>
  <c r="H141" i="38" s="1"/>
  <c r="E141" i="34"/>
  <c r="F141" i="34" s="1"/>
  <c r="H141" i="34" s="1"/>
  <c r="G140" i="39"/>
  <c r="D141" i="39"/>
  <c r="B146" i="28"/>
  <c r="H64" i="24"/>
  <c r="I64" i="24" s="1"/>
  <c r="D65" i="24"/>
  <c r="D145" i="26"/>
  <c r="G144" i="26"/>
  <c r="J143" i="26"/>
  <c r="E144" i="25"/>
  <c r="F144" i="25" s="1"/>
  <c r="D145" i="25" s="1"/>
  <c r="G147" i="18"/>
  <c r="D148" i="18"/>
  <c r="J144" i="28"/>
  <c r="J146" i="18"/>
  <c r="H62" i="27"/>
  <c r="I62" i="27" s="1"/>
  <c r="J147" i="4"/>
  <c r="G60" i="25"/>
  <c r="I60" i="25" s="1"/>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G148" i="4"/>
  <c r="D149" i="4"/>
  <c r="J146" i="19"/>
  <c r="D141" i="37"/>
  <c r="G140" i="37"/>
  <c r="D142" i="31"/>
  <c r="G141" i="31"/>
  <c r="I143" i="25"/>
  <c r="D148" i="19"/>
  <c r="G147" i="19"/>
  <c r="I144" i="24"/>
  <c r="H141" i="13"/>
  <c r="I141" i="13"/>
  <c r="F142" i="13"/>
  <c r="B142" i="13"/>
  <c r="I144" i="27"/>
  <c r="B141" i="34"/>
  <c r="J140" i="20"/>
  <c r="B145" i="27"/>
  <c r="F145" i="27"/>
  <c r="H145" i="27" s="1"/>
  <c r="I140" i="34"/>
  <c r="I144" i="21"/>
  <c r="B145" i="24"/>
  <c r="J143" i="22"/>
  <c r="I140" i="38"/>
  <c r="B145" i="21"/>
  <c r="J148" i="23"/>
  <c r="G146" i="29"/>
  <c r="D147" i="29"/>
  <c r="B141" i="38"/>
  <c r="E145" i="24"/>
  <c r="F145" i="24" s="1"/>
  <c r="H145" i="24" s="1"/>
  <c r="G149" i="23"/>
  <c r="D150" i="23"/>
  <c r="G144" i="22"/>
  <c r="D145" i="22"/>
  <c r="J147" i="3"/>
  <c r="G148" i="3"/>
  <c r="D149" i="3"/>
  <c r="D142" i="20"/>
  <c r="E142" i="20" s="1"/>
  <c r="G141" i="20"/>
  <c r="H144" i="25" l="1"/>
  <c r="E58" i="39"/>
  <c r="F58" i="39"/>
  <c r="H58" i="39" s="1"/>
  <c r="B58" i="39"/>
  <c r="E145" i="25"/>
  <c r="F145" i="25" s="1"/>
  <c r="E145" i="22"/>
  <c r="F145" i="22" s="1"/>
  <c r="H145" i="22" s="1"/>
  <c r="E149" i="3"/>
  <c r="F149" i="3" s="1"/>
  <c r="H149" i="3" s="1"/>
  <c r="B142" i="35"/>
  <c r="E142" i="31"/>
  <c r="F142" i="31" s="1"/>
  <c r="H142" i="31" s="1"/>
  <c r="E147" i="29"/>
  <c r="F147" i="29" s="1"/>
  <c r="H147" i="29" s="1"/>
  <c r="B141" i="39"/>
  <c r="I140" i="39"/>
  <c r="E141" i="39"/>
  <c r="F141" i="39" s="1"/>
  <c r="H141" i="39" s="1"/>
  <c r="J145" i="28"/>
  <c r="G144" i="25"/>
  <c r="I144" i="25" s="1"/>
  <c r="E65" i="24"/>
  <c r="F65" i="24" s="1"/>
  <c r="H65" i="24" s="1"/>
  <c r="B65" i="24"/>
  <c r="B145" i="25"/>
  <c r="I144" i="26"/>
  <c r="E145" i="26"/>
  <c r="F145" i="26" s="1"/>
  <c r="H145" i="26" s="1"/>
  <c r="B145" i="26"/>
  <c r="I62" i="28"/>
  <c r="E148" i="18"/>
  <c r="F148" i="18" s="1"/>
  <c r="H148" i="18" s="1"/>
  <c r="B148" i="18"/>
  <c r="I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H142" i="35" s="1"/>
  <c r="G63" i="21"/>
  <c r="D63" i="22"/>
  <c r="E63" i="22" s="1"/>
  <c r="H63" i="21"/>
  <c r="B59" i="34"/>
  <c r="F59" i="34"/>
  <c r="H59" i="34" s="1"/>
  <c r="I62" i="23"/>
  <c r="D66" i="19"/>
  <c r="E66" i="19" s="1"/>
  <c r="G62" i="22"/>
  <c r="I62" i="22" s="1"/>
  <c r="B63" i="28"/>
  <c r="E57" i="38"/>
  <c r="F57" i="38" s="1"/>
  <c r="E59" i="35"/>
  <c r="F59" i="35" s="1"/>
  <c r="F61" i="13"/>
  <c r="H61" i="13" s="1"/>
  <c r="B61" i="13"/>
  <c r="E60" i="29"/>
  <c r="F60" i="29" s="1"/>
  <c r="E141" i="37"/>
  <c r="F141" i="37" s="1"/>
  <c r="H141" i="37" s="1"/>
  <c r="B141" i="37"/>
  <c r="I140" i="37"/>
  <c r="E149" i="4"/>
  <c r="F149" i="4" s="1"/>
  <c r="H149" i="4" s="1"/>
  <c r="B149" i="4"/>
  <c r="I148" i="4"/>
  <c r="I141" i="35"/>
  <c r="J144" i="21"/>
  <c r="I141" i="31"/>
  <c r="B142" i="31"/>
  <c r="G145" i="24"/>
  <c r="D146" i="24"/>
  <c r="D143" i="13"/>
  <c r="E143" i="13" s="1"/>
  <c r="G142" i="13"/>
  <c r="J144" i="24"/>
  <c r="I147" i="19"/>
  <c r="B148" i="19"/>
  <c r="B147" i="28"/>
  <c r="G141" i="34"/>
  <c r="D142" i="34"/>
  <c r="E148" i="19"/>
  <c r="F148" i="19" s="1"/>
  <c r="H148" i="19" s="1"/>
  <c r="I146" i="29"/>
  <c r="G141" i="38"/>
  <c r="D142" i="38"/>
  <c r="D146" i="27"/>
  <c r="G145" i="27"/>
  <c r="J144" i="27"/>
  <c r="G145" i="21"/>
  <c r="D146" i="21"/>
  <c r="B149" i="3"/>
  <c r="I148" i="3"/>
  <c r="E150" i="23"/>
  <c r="F150" i="23" s="1"/>
  <c r="H150" i="23" s="1"/>
  <c r="I144" i="22"/>
  <c r="I141" i="20"/>
  <c r="H141" i="20"/>
  <c r="F142" i="20"/>
  <c r="B142" i="20"/>
  <c r="B145" i="22"/>
  <c r="I149" i="23"/>
  <c r="G58" i="39" l="1"/>
  <c r="I58" i="39" s="1"/>
  <c r="D59" i="39"/>
  <c r="D146" i="25"/>
  <c r="E146" i="25" s="1"/>
  <c r="F146" i="25" s="1"/>
  <c r="H146" i="25" s="1"/>
  <c r="H145" i="25"/>
  <c r="E146" i="24"/>
  <c r="F146" i="24" s="1"/>
  <c r="H146" i="24" s="1"/>
  <c r="E146" i="27"/>
  <c r="F146" i="27" s="1"/>
  <c r="H146" i="27" s="1"/>
  <c r="G145" i="25"/>
  <c r="I145" i="25" s="1"/>
  <c r="E146" i="21"/>
  <c r="F146" i="21" s="1"/>
  <c r="H146" i="21" s="1"/>
  <c r="E142" i="38"/>
  <c r="F142" i="38" s="1"/>
  <c r="H142" i="38" s="1"/>
  <c r="E142" i="34"/>
  <c r="F142" i="34" s="1"/>
  <c r="H142" i="34" s="1"/>
  <c r="G141" i="39"/>
  <c r="D142" i="39"/>
  <c r="G65" i="24"/>
  <c r="I65" i="24" s="1"/>
  <c r="D66" i="24"/>
  <c r="J147" i="18"/>
  <c r="G145" i="26"/>
  <c r="D146" i="26"/>
  <c r="J148" i="4"/>
  <c r="J144" i="26"/>
  <c r="I67" i="3"/>
  <c r="J146" i="28"/>
  <c r="D149" i="18"/>
  <c r="G148" i="18"/>
  <c r="I63" i="28"/>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3"/>
  <c r="E64" i="23" s="1"/>
  <c r="G58" i="37"/>
  <c r="I58" i="37" s="1"/>
  <c r="H59" i="31"/>
  <c r="I59" i="31" s="1"/>
  <c r="B68" i="3"/>
  <c r="F68" i="3"/>
  <c r="H68" i="3" s="1"/>
  <c r="J141" i="31"/>
  <c r="D142" i="37"/>
  <c r="G141" i="37"/>
  <c r="G149" i="4"/>
  <c r="D150" i="4"/>
  <c r="D143" i="31"/>
  <c r="G142" i="31"/>
  <c r="J147" i="19"/>
  <c r="J148" i="3"/>
  <c r="D149" i="19"/>
  <c r="G148" i="19"/>
  <c r="B142" i="38"/>
  <c r="B146" i="21"/>
  <c r="I141" i="38"/>
  <c r="H142" i="13"/>
  <c r="I142" i="13"/>
  <c r="I145" i="21"/>
  <c r="G147" i="29"/>
  <c r="D148" i="29"/>
  <c r="B143" i="13"/>
  <c r="F143" i="13"/>
  <c r="I141" i="34"/>
  <c r="I145" i="27"/>
  <c r="B146" i="24"/>
  <c r="J149" i="23"/>
  <c r="J144" i="22"/>
  <c r="B146" i="27"/>
  <c r="B142" i="34"/>
  <c r="I145" i="24"/>
  <c r="G149" i="3"/>
  <c r="D150" i="3"/>
  <c r="D151" i="23"/>
  <c r="G150" i="23"/>
  <c r="J141" i="20"/>
  <c r="G145" i="22"/>
  <c r="D146" i="22"/>
  <c r="D143" i="20"/>
  <c r="E143" i="20" s="1"/>
  <c r="G142" i="20"/>
  <c r="B146" i="25" l="1"/>
  <c r="E59" i="39"/>
  <c r="F59" i="39"/>
  <c r="G59" i="39" s="1"/>
  <c r="B59" i="39"/>
  <c r="E146" i="22"/>
  <c r="E151" i="23"/>
  <c r="F151" i="23" s="1"/>
  <c r="H151" i="23" s="1"/>
  <c r="E150" i="3"/>
  <c r="F150" i="3" s="1"/>
  <c r="H150" i="3" s="1"/>
  <c r="E142" i="39"/>
  <c r="F142" i="39" s="1"/>
  <c r="H142" i="39" s="1"/>
  <c r="E148" i="29"/>
  <c r="B142" i="39"/>
  <c r="I141" i="39"/>
  <c r="E66" i="24"/>
  <c r="F66" i="24" s="1"/>
  <c r="H66" i="24" s="1"/>
  <c r="B66" i="24"/>
  <c r="I57" i="38"/>
  <c r="E146" i="26"/>
  <c r="F146" i="26" s="1"/>
  <c r="H146" i="26" s="1"/>
  <c r="B146" i="26"/>
  <c r="I145" i="26"/>
  <c r="I148" i="18"/>
  <c r="B149" i="18"/>
  <c r="E149" i="18"/>
  <c r="F149" i="18" s="1"/>
  <c r="H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B64" i="28"/>
  <c r="G66" i="18"/>
  <c r="D68" i="4"/>
  <c r="E68" i="4" s="1"/>
  <c r="D64" i="22"/>
  <c r="E64" i="22" s="1"/>
  <c r="I60" i="29"/>
  <c r="G68" i="3"/>
  <c r="I68" i="3" s="1"/>
  <c r="G63" i="22"/>
  <c r="H66" i="18"/>
  <c r="D67" i="19"/>
  <c r="E67" i="19" s="1"/>
  <c r="I142" i="35"/>
  <c r="D65" i="21"/>
  <c r="E65" i="21" s="1"/>
  <c r="B62" i="13"/>
  <c r="F62" i="13"/>
  <c r="B58" i="38"/>
  <c r="F58" i="38"/>
  <c r="H58" i="38" s="1"/>
  <c r="F61" i="29"/>
  <c r="G61" i="29" s="1"/>
  <c r="E143" i="35"/>
  <c r="F143" i="35" s="1"/>
  <c r="H143" i="35" s="1"/>
  <c r="B143" i="35"/>
  <c r="H64" i="21"/>
  <c r="I64" i="21" s="1"/>
  <c r="H63" i="22"/>
  <c r="B64" i="27"/>
  <c r="F64" i="27"/>
  <c r="H64" i="27" s="1"/>
  <c r="E60" i="31"/>
  <c r="F60" i="31" s="1"/>
  <c r="E150" i="4"/>
  <c r="F150" i="4" s="1"/>
  <c r="H150" i="4" s="1"/>
  <c r="B150" i="4"/>
  <c r="I149" i="4"/>
  <c r="I141" i="37"/>
  <c r="E142" i="37"/>
  <c r="F142" i="37" s="1"/>
  <c r="H142" i="37" s="1"/>
  <c r="B142" i="37"/>
  <c r="I142" i="31"/>
  <c r="E143" i="31"/>
  <c r="F143" i="31" s="1"/>
  <c r="H143" i="31" s="1"/>
  <c r="B143" i="31"/>
  <c r="J145" i="24"/>
  <c r="G146" i="25"/>
  <c r="D147" i="25"/>
  <c r="D143" i="34"/>
  <c r="G142" i="34"/>
  <c r="D144" i="13"/>
  <c r="G143" i="13"/>
  <c r="B149" i="19"/>
  <c r="D147" i="21"/>
  <c r="G146" i="21"/>
  <c r="F148" i="29"/>
  <c r="H148" i="29" s="1"/>
  <c r="D147" i="24"/>
  <c r="G146" i="24"/>
  <c r="I147" i="29"/>
  <c r="G146" i="27"/>
  <c r="D147" i="27"/>
  <c r="E149" i="19"/>
  <c r="F149" i="19" s="1"/>
  <c r="H149" i="19" s="1"/>
  <c r="B148" i="28"/>
  <c r="D143" i="38"/>
  <c r="G142" i="38"/>
  <c r="J145" i="27"/>
  <c r="J145" i="21"/>
  <c r="I148" i="19"/>
  <c r="H142" i="20"/>
  <c r="I142" i="20"/>
  <c r="B143" i="20"/>
  <c r="F143" i="20"/>
  <c r="F146" i="22"/>
  <c r="H146" i="22" s="1"/>
  <c r="B146" i="22"/>
  <c r="I149" i="3"/>
  <c r="B150" i="3"/>
  <c r="I145" i="22"/>
  <c r="I150" i="23"/>
  <c r="H59" i="39" l="1"/>
  <c r="I59" i="39" s="1"/>
  <c r="D60" i="39"/>
  <c r="E147" i="21"/>
  <c r="F147" i="21" s="1"/>
  <c r="H147" i="21" s="1"/>
  <c r="E147" i="27"/>
  <c r="F147" i="27" s="1"/>
  <c r="H147" i="27" s="1"/>
  <c r="E147" i="24"/>
  <c r="F147" i="24" s="1"/>
  <c r="H147" i="24" s="1"/>
  <c r="E143" i="34"/>
  <c r="F143" i="34" s="1"/>
  <c r="H143" i="34" s="1"/>
  <c r="G142" i="39"/>
  <c r="D143" i="39"/>
  <c r="G66" i="24"/>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I64" i="28"/>
  <c r="H60" i="35"/>
  <c r="B67" i="18"/>
  <c r="F67" i="18"/>
  <c r="H62" i="25"/>
  <c r="H64" i="23"/>
  <c r="I64" i="23" s="1"/>
  <c r="G142" i="37"/>
  <c r="D143" i="37"/>
  <c r="J149" i="4"/>
  <c r="G150" i="4"/>
  <c r="D151" i="4"/>
  <c r="J149" i="3"/>
  <c r="J148" i="19"/>
  <c r="G143" i="31"/>
  <c r="D144" i="31"/>
  <c r="J147" i="28"/>
  <c r="G149" i="19"/>
  <c r="D150" i="19"/>
  <c r="B143" i="38"/>
  <c r="H143" i="13"/>
  <c r="I143" i="13"/>
  <c r="E143" i="38"/>
  <c r="F143" i="38" s="1"/>
  <c r="H143" i="38" s="1"/>
  <c r="I146" i="21"/>
  <c r="B144" i="13"/>
  <c r="J142" i="20"/>
  <c r="I146" i="24"/>
  <c r="I142" i="34"/>
  <c r="B147" i="24"/>
  <c r="B143" i="34"/>
  <c r="G148" i="29"/>
  <c r="D149" i="29"/>
  <c r="B147" i="25"/>
  <c r="B147" i="27"/>
  <c r="E147" i="25"/>
  <c r="F147" i="25" s="1"/>
  <c r="H147" i="25" s="1"/>
  <c r="B147" i="21"/>
  <c r="I142" i="38"/>
  <c r="I146" i="27"/>
  <c r="E144" i="13"/>
  <c r="F144" i="13" s="1"/>
  <c r="I146" i="25"/>
  <c r="G146" i="22"/>
  <c r="D147" i="22"/>
  <c r="J150" i="23"/>
  <c r="G143" i="20"/>
  <c r="D144" i="20"/>
  <c r="E144" i="20" s="1"/>
  <c r="G151" i="23"/>
  <c r="D152" i="23"/>
  <c r="D151" i="3"/>
  <c r="G150" i="3"/>
  <c r="J145" i="22"/>
  <c r="E60" i="39" l="1"/>
  <c r="F60" i="39" s="1"/>
  <c r="B60" i="39"/>
  <c r="E152" i="23"/>
  <c r="E151" i="3"/>
  <c r="F151" i="3" s="1"/>
  <c r="H151" i="3" s="1"/>
  <c r="E149" i="29"/>
  <c r="F149" i="29" s="1"/>
  <c r="H149" i="29" s="1"/>
  <c r="E143" i="39"/>
  <c r="F143" i="39" s="1"/>
  <c r="H143" i="39" s="1"/>
  <c r="B143" i="39"/>
  <c r="I142" i="39"/>
  <c r="I62" i="25"/>
  <c r="E67" i="24"/>
  <c r="F67" i="24" s="1"/>
  <c r="B67" i="24"/>
  <c r="I146" i="26"/>
  <c r="E147" i="26"/>
  <c r="F147" i="26" s="1"/>
  <c r="H147" i="26" s="1"/>
  <c r="B147" i="26"/>
  <c r="E150" i="18"/>
  <c r="F150" i="18" s="1"/>
  <c r="H150" i="18" s="1"/>
  <c r="B150" i="18"/>
  <c r="I149" i="18"/>
  <c r="I62" i="13"/>
  <c r="I60" i="35"/>
  <c r="H69" i="3"/>
  <c r="I69" i="3" s="1"/>
  <c r="I60" i="34"/>
  <c r="B60" i="37"/>
  <c r="F62" i="29"/>
  <c r="G62" i="29" s="1"/>
  <c r="D65" i="22"/>
  <c r="E65" i="22" s="1"/>
  <c r="B65" i="28"/>
  <c r="B59" i="38"/>
  <c r="F59" i="38"/>
  <c r="H59" i="38" s="1"/>
  <c r="F61" i="35"/>
  <c r="G61" i="35" s="1"/>
  <c r="B61" i="35"/>
  <c r="D68" i="18"/>
  <c r="D69" i="4"/>
  <c r="E69" i="4" s="1"/>
  <c r="B63" i="13"/>
  <c r="E144" i="35"/>
  <c r="F144" i="35" s="1"/>
  <c r="H144" i="35" s="1"/>
  <c r="B144" i="35"/>
  <c r="H67" i="18"/>
  <c r="G68" i="4"/>
  <c r="I68" i="4" s="1"/>
  <c r="E63" i="13"/>
  <c r="F63" i="13" s="1"/>
  <c r="H64" i="22"/>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H151" i="4" s="1"/>
  <c r="I150" i="4"/>
  <c r="B143" i="37"/>
  <c r="I142" i="37"/>
  <c r="E143" i="37"/>
  <c r="F143" i="37" s="1"/>
  <c r="H143" i="37" s="1"/>
  <c r="E144" i="31"/>
  <c r="F144" i="31" s="1"/>
  <c r="H144" i="31" s="1"/>
  <c r="B144" i="31"/>
  <c r="I143" i="31"/>
  <c r="J146" i="24"/>
  <c r="G147" i="25"/>
  <c r="D148" i="25"/>
  <c r="G143" i="38"/>
  <c r="D144" i="38"/>
  <c r="D145" i="13"/>
  <c r="E145" i="13" s="1"/>
  <c r="G144" i="13"/>
  <c r="D148" i="21"/>
  <c r="G147" i="21"/>
  <c r="G143" i="34"/>
  <c r="D144" i="34"/>
  <c r="G147" i="24"/>
  <c r="D148" i="24"/>
  <c r="D148" i="27"/>
  <c r="G147" i="27"/>
  <c r="I148" i="29"/>
  <c r="B149" i="28"/>
  <c r="B150" i="19"/>
  <c r="J146" i="27"/>
  <c r="J146" i="21"/>
  <c r="E150" i="19"/>
  <c r="F150" i="19" s="1"/>
  <c r="H150" i="19" s="1"/>
  <c r="I149" i="19"/>
  <c r="I150" i="3"/>
  <c r="B147" i="22"/>
  <c r="F152" i="23"/>
  <c r="H152" i="23" s="1"/>
  <c r="I151" i="23"/>
  <c r="F144" i="20"/>
  <c r="B144" i="20"/>
  <c r="I146" i="22"/>
  <c r="B151" i="3"/>
  <c r="I143" i="20"/>
  <c r="H143" i="20"/>
  <c r="E147" i="22"/>
  <c r="F147" i="22" s="1"/>
  <c r="H147" i="22" s="1"/>
  <c r="D61" i="39" l="1"/>
  <c r="G60" i="39"/>
  <c r="E61" i="39"/>
  <c r="F61" i="39" s="1"/>
  <c r="G61" i="39" s="1"/>
  <c r="B61" i="39"/>
  <c r="H60" i="39"/>
  <c r="E148" i="21"/>
  <c r="E148" i="24"/>
  <c r="F148" i="24" s="1"/>
  <c r="H148" i="24" s="1"/>
  <c r="E144" i="38"/>
  <c r="F144" i="38" s="1"/>
  <c r="H144" i="38" s="1"/>
  <c r="G143" i="39"/>
  <c r="D144" i="39"/>
  <c r="D68" i="24"/>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3" i="29"/>
  <c r="E63" i="29" s="1"/>
  <c r="F70" i="3"/>
  <c r="G70" i="3" s="1"/>
  <c r="B70" i="3"/>
  <c r="H62" i="29"/>
  <c r="I62" i="29" s="1"/>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J150" i="4"/>
  <c r="D152" i="4"/>
  <c r="G151" i="4"/>
  <c r="J151" i="23"/>
  <c r="J143" i="31"/>
  <c r="G144" i="31"/>
  <c r="D145" i="31"/>
  <c r="J148" i="28"/>
  <c r="G150" i="19"/>
  <c r="D151" i="19"/>
  <c r="B148" i="27"/>
  <c r="B144" i="34"/>
  <c r="I143" i="34"/>
  <c r="F145" i="13"/>
  <c r="B145" i="13"/>
  <c r="J150" i="3"/>
  <c r="I147" i="24"/>
  <c r="B144" i="38"/>
  <c r="B148" i="24"/>
  <c r="J149" i="19"/>
  <c r="D150" i="29"/>
  <c r="G149" i="29"/>
  <c r="I143" i="38"/>
  <c r="I147" i="21"/>
  <c r="B148" i="25"/>
  <c r="E148" i="27"/>
  <c r="F148" i="27" s="1"/>
  <c r="H148" i="27" s="1"/>
  <c r="F148" i="21"/>
  <c r="H148" i="21" s="1"/>
  <c r="B148" i="21"/>
  <c r="E148" i="25"/>
  <c r="F148" i="25" s="1"/>
  <c r="H148" i="25" s="1"/>
  <c r="I147" i="27"/>
  <c r="E144" i="34"/>
  <c r="F144" i="34" s="1"/>
  <c r="H144" i="34" s="1"/>
  <c r="I144" i="13"/>
  <c r="H144" i="13"/>
  <c r="I147" i="25"/>
  <c r="G151" i="3"/>
  <c r="D152" i="3"/>
  <c r="G152" i="23"/>
  <c r="D153" i="23"/>
  <c r="G144" i="20"/>
  <c r="D145" i="20"/>
  <c r="E145" i="20" s="1"/>
  <c r="J143" i="20"/>
  <c r="G147" i="22"/>
  <c r="D148" i="22"/>
  <c r="J146" i="22"/>
  <c r="I60" i="39" l="1"/>
  <c r="H61" i="39"/>
  <c r="I61" i="39" s="1"/>
  <c r="D62" i="39"/>
  <c r="B144" i="37"/>
  <c r="E145" i="31"/>
  <c r="E150" i="29"/>
  <c r="F150" i="29" s="1"/>
  <c r="H150" i="29" s="1"/>
  <c r="E144" i="39"/>
  <c r="F144" i="39" s="1"/>
  <c r="H144" i="39" s="1"/>
  <c r="B144" i="39"/>
  <c r="I143" i="39"/>
  <c r="I67" i="24"/>
  <c r="E68" i="24"/>
  <c r="F68" i="24" s="1"/>
  <c r="D69" i="24" s="1"/>
  <c r="B68" i="24"/>
  <c r="I60" i="37"/>
  <c r="E148" i="26"/>
  <c r="F148" i="26" s="1"/>
  <c r="H148" i="26" s="1"/>
  <c r="B148" i="26"/>
  <c r="I147" i="26"/>
  <c r="E151" i="18"/>
  <c r="F151" i="18" s="1"/>
  <c r="H151" i="18" s="1"/>
  <c r="B151" i="18"/>
  <c r="I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I144" i="35"/>
  <c r="D67" i="21"/>
  <c r="E67" i="21" s="1"/>
  <c r="E145" i="35"/>
  <c r="F145" i="35" s="1"/>
  <c r="H145" i="35" s="1"/>
  <c r="B145" i="35"/>
  <c r="D66" i="22"/>
  <c r="E66" i="22" s="1"/>
  <c r="B66" i="23"/>
  <c r="F66" i="23"/>
  <c r="G66" i="23" s="1"/>
  <c r="B62" i="35"/>
  <c r="F62" i="35"/>
  <c r="H62" i="35" s="1"/>
  <c r="F63" i="29"/>
  <c r="G63" i="29" s="1"/>
  <c r="B66" i="27"/>
  <c r="F66" i="27"/>
  <c r="I63" i="13"/>
  <c r="F62" i="34"/>
  <c r="B62" i="34"/>
  <c r="B60" i="38"/>
  <c r="F60" i="38"/>
  <c r="B66" i="28"/>
  <c r="B64" i="13"/>
  <c r="E62" i="31"/>
  <c r="F62" i="31" s="1"/>
  <c r="H69" i="4"/>
  <c r="F64" i="25"/>
  <c r="B64" i="25"/>
  <c r="H70" i="3"/>
  <c r="I70" i="3" s="1"/>
  <c r="D69" i="19"/>
  <c r="E69" i="19" s="1"/>
  <c r="E64" i="13"/>
  <c r="F64" i="13" s="1"/>
  <c r="B152" i="4"/>
  <c r="E152" i="4"/>
  <c r="F152" i="4" s="1"/>
  <c r="H152" i="4" s="1"/>
  <c r="I151" i="4"/>
  <c r="I143" i="37"/>
  <c r="J147" i="21"/>
  <c r="E144" i="37"/>
  <c r="F144" i="37" s="1"/>
  <c r="H144" i="37" s="1"/>
  <c r="B145" i="31"/>
  <c r="F145" i="31"/>
  <c r="H145" i="31" s="1"/>
  <c r="I144" i="31"/>
  <c r="G144" i="34"/>
  <c r="D145" i="34"/>
  <c r="G148" i="27"/>
  <c r="D149" i="27"/>
  <c r="I149" i="29"/>
  <c r="D145" i="38"/>
  <c r="G144" i="38"/>
  <c r="B151" i="19"/>
  <c r="D146" i="13"/>
  <c r="G145" i="13"/>
  <c r="E151" i="19"/>
  <c r="F151" i="19" s="1"/>
  <c r="H151" i="19" s="1"/>
  <c r="I150" i="19"/>
  <c r="J147" i="24"/>
  <c r="B150" i="28"/>
  <c r="G148" i="24"/>
  <c r="D149" i="24"/>
  <c r="G148" i="25"/>
  <c r="D149" i="25"/>
  <c r="J147" i="27"/>
  <c r="D149" i="21"/>
  <c r="G148" i="21"/>
  <c r="I152" i="23"/>
  <c r="I147" i="22"/>
  <c r="B152" i="3"/>
  <c r="B148" i="22"/>
  <c r="I151" i="3"/>
  <c r="E148" i="22"/>
  <c r="F148" i="22" s="1"/>
  <c r="H148" i="22" s="1"/>
  <c r="B145" i="20"/>
  <c r="F145" i="20"/>
  <c r="I144" i="20"/>
  <c r="H144" i="20"/>
  <c r="E153" i="23"/>
  <c r="F153" i="23" s="1"/>
  <c r="H153" i="23" s="1"/>
  <c r="E152" i="3"/>
  <c r="F152" i="3" s="1"/>
  <c r="H152" i="3" s="1"/>
  <c r="E62" i="39" l="1"/>
  <c r="F62" i="39"/>
  <c r="B62" i="39"/>
  <c r="H62" i="39"/>
  <c r="E149" i="27"/>
  <c r="E149" i="24"/>
  <c r="E149" i="21"/>
  <c r="F149" i="21" s="1"/>
  <c r="H149" i="21" s="1"/>
  <c r="E149" i="25"/>
  <c r="F149" i="25" s="1"/>
  <c r="H149" i="25" s="1"/>
  <c r="E145" i="38"/>
  <c r="E145" i="34"/>
  <c r="F145" i="34" s="1"/>
  <c r="H145" i="34" s="1"/>
  <c r="D145" i="39"/>
  <c r="G144" i="39"/>
  <c r="H68" i="24"/>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3" i="34"/>
  <c r="E63" i="34" s="1"/>
  <c r="B71" i="3"/>
  <c r="F71" i="3"/>
  <c r="H71" i="3" s="1"/>
  <c r="H61" i="37"/>
  <c r="G62" i="34"/>
  <c r="G61" i="37"/>
  <c r="I66" i="28"/>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G151" i="19"/>
  <c r="B149" i="24"/>
  <c r="F149" i="24"/>
  <c r="H149" i="24" s="1"/>
  <c r="G150" i="29"/>
  <c r="D151" i="29"/>
  <c r="B145" i="38"/>
  <c r="F145" i="38"/>
  <c r="H145" i="38" s="1"/>
  <c r="I148" i="21"/>
  <c r="I148" i="24"/>
  <c r="H145" i="13"/>
  <c r="I145" i="13"/>
  <c r="B146" i="13"/>
  <c r="B149" i="27"/>
  <c r="F149" i="27"/>
  <c r="H149" i="27" s="1"/>
  <c r="B149" i="21"/>
  <c r="E146" i="13"/>
  <c r="F146" i="13" s="1"/>
  <c r="I148" i="27"/>
  <c r="B149" i="25"/>
  <c r="B145" i="34"/>
  <c r="I148" i="25"/>
  <c r="J149" i="28"/>
  <c r="I144" i="38"/>
  <c r="I144" i="34"/>
  <c r="D149" i="22"/>
  <c r="G148" i="22"/>
  <c r="D154" i="23"/>
  <c r="G153" i="23"/>
  <c r="J144" i="20"/>
  <c r="G152" i="3"/>
  <c r="D153" i="3"/>
  <c r="D146" i="20"/>
  <c r="E146" i="20" s="1"/>
  <c r="G145" i="20"/>
  <c r="G62" i="39" l="1"/>
  <c r="D63" i="39"/>
  <c r="I62" i="39"/>
  <c r="E152" i="19"/>
  <c r="E153" i="3"/>
  <c r="F153" i="3" s="1"/>
  <c r="H153" i="3" s="1"/>
  <c r="E145" i="39"/>
  <c r="F145" i="39" s="1"/>
  <c r="H145" i="39" s="1"/>
  <c r="E151" i="29"/>
  <c r="F151" i="29" s="1"/>
  <c r="H151" i="29" s="1"/>
  <c r="I144" i="39"/>
  <c r="B145" i="39"/>
  <c r="I68" i="24"/>
  <c r="G69" i="24"/>
  <c r="H69" i="24"/>
  <c r="D70" i="24"/>
  <c r="E149" i="26"/>
  <c r="F149" i="26" s="1"/>
  <c r="H149" i="26" s="1"/>
  <c r="B149" i="26"/>
  <c r="I148" i="26"/>
  <c r="I151" i="18"/>
  <c r="E152" i="18"/>
  <c r="F152" i="18" s="1"/>
  <c r="H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H146" i="35" s="1"/>
  <c r="B146" i="35"/>
  <c r="G66" i="22"/>
  <c r="I66" i="22" s="1"/>
  <c r="D70" i="19"/>
  <c r="E70" i="19" s="1"/>
  <c r="B67" i="28"/>
  <c r="I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I152" i="4"/>
  <c r="B153" i="4"/>
  <c r="E153" i="4"/>
  <c r="F153" i="4" s="1"/>
  <c r="H153" i="4" s="1"/>
  <c r="I144" i="37"/>
  <c r="J148" i="24"/>
  <c r="E145" i="37"/>
  <c r="F145" i="37" s="1"/>
  <c r="H145" i="37" s="1"/>
  <c r="B145" i="37"/>
  <c r="I145" i="31"/>
  <c r="E146" i="31"/>
  <c r="F146" i="31" s="1"/>
  <c r="H146" i="31" s="1"/>
  <c r="B146" i="31"/>
  <c r="G146" i="13"/>
  <c r="D147" i="13"/>
  <c r="E147" i="13" s="1"/>
  <c r="G149" i="25"/>
  <c r="D150" i="25"/>
  <c r="D150" i="21"/>
  <c r="G149" i="21"/>
  <c r="I151" i="19"/>
  <c r="J148" i="27"/>
  <c r="D150" i="27"/>
  <c r="G149" i="27"/>
  <c r="G145" i="38"/>
  <c r="D146" i="38"/>
  <c r="D150" i="24"/>
  <c r="G149" i="24"/>
  <c r="G145" i="34"/>
  <c r="D146" i="34"/>
  <c r="B152" i="19"/>
  <c r="F152" i="19"/>
  <c r="H152" i="19" s="1"/>
  <c r="B151" i="28"/>
  <c r="J148" i="21"/>
  <c r="I150" i="29"/>
  <c r="I152" i="3"/>
  <c r="I148" i="22"/>
  <c r="B153" i="3"/>
  <c r="E154" i="23"/>
  <c r="F154" i="23" s="1"/>
  <c r="H154" i="23" s="1"/>
  <c r="B149" i="22"/>
  <c r="I153" i="23"/>
  <c r="I145" i="20"/>
  <c r="H145" i="20"/>
  <c r="F146" i="20"/>
  <c r="B146" i="20"/>
  <c r="E149" i="22"/>
  <c r="F149" i="22" s="1"/>
  <c r="H149" i="22" s="1"/>
  <c r="E63" i="39" l="1"/>
  <c r="F63" i="39" s="1"/>
  <c r="B63" i="39"/>
  <c r="E150" i="24"/>
  <c r="F150" i="24" s="1"/>
  <c r="H150" i="24" s="1"/>
  <c r="E150" i="27"/>
  <c r="F150" i="27" s="1"/>
  <c r="H150" i="27" s="1"/>
  <c r="E146" i="34"/>
  <c r="F146" i="34" s="1"/>
  <c r="H146" i="34" s="1"/>
  <c r="G145" i="39"/>
  <c r="D146" i="39"/>
  <c r="I69" i="24"/>
  <c r="E70" i="24"/>
  <c r="F70" i="24" s="1"/>
  <c r="B70" i="24"/>
  <c r="D150" i="26"/>
  <c r="G149" i="26"/>
  <c r="J148" i="26"/>
  <c r="I69" i="18"/>
  <c r="J145" i="31"/>
  <c r="D153" i="18"/>
  <c r="G152" i="18"/>
  <c r="J151" i="18"/>
  <c r="H61" i="38"/>
  <c r="I61" i="38" s="1"/>
  <c r="G67" i="27"/>
  <c r="I67" i="27" s="1"/>
  <c r="I67" i="28"/>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4" i="34"/>
  <c r="H64" i="29"/>
  <c r="I64" i="29" s="1"/>
  <c r="G145" i="37"/>
  <c r="D146" i="37"/>
  <c r="G153" i="4"/>
  <c r="D154" i="4"/>
  <c r="J152" i="3"/>
  <c r="D147" i="31"/>
  <c r="G146" i="31"/>
  <c r="J151" i="19"/>
  <c r="G151" i="29"/>
  <c r="D152" i="29"/>
  <c r="B146" i="38"/>
  <c r="I149" i="21"/>
  <c r="I145" i="38"/>
  <c r="B150" i="21"/>
  <c r="B150" i="25"/>
  <c r="I145" i="34"/>
  <c r="I149" i="25"/>
  <c r="B146" i="34"/>
  <c r="I149" i="27"/>
  <c r="E150" i="25"/>
  <c r="F150" i="25" s="1"/>
  <c r="H150" i="25" s="1"/>
  <c r="J150" i="28"/>
  <c r="I149" i="24"/>
  <c r="B150" i="27"/>
  <c r="F147" i="13"/>
  <c r="B147" i="13"/>
  <c r="B150" i="24"/>
  <c r="G152" i="19"/>
  <c r="D153" i="19"/>
  <c r="E146" i="38"/>
  <c r="F146" i="38" s="1"/>
  <c r="H146" i="38" s="1"/>
  <c r="E150" i="21"/>
  <c r="F150" i="21" s="1"/>
  <c r="H150" i="21" s="1"/>
  <c r="H146" i="13"/>
  <c r="I146" i="13"/>
  <c r="D155" i="23"/>
  <c r="G154" i="23"/>
  <c r="D150" i="22"/>
  <c r="G149" i="22"/>
  <c r="G146" i="20"/>
  <c r="D147" i="20"/>
  <c r="J145" i="20"/>
  <c r="G153" i="3"/>
  <c r="D154" i="3"/>
  <c r="J153" i="23"/>
  <c r="J148" i="22"/>
  <c r="H63" i="39" l="1"/>
  <c r="D64" i="39"/>
  <c r="G63" i="39"/>
  <c r="I63" i="39" s="1"/>
  <c r="E150" i="22"/>
  <c r="F150" i="22" s="1"/>
  <c r="H150" i="22" s="1"/>
  <c r="E152" i="29"/>
  <c r="E146" i="39"/>
  <c r="F146" i="39" s="1"/>
  <c r="H146" i="39" s="1"/>
  <c r="B146" i="39"/>
  <c r="I145" i="39"/>
  <c r="D71" i="24"/>
  <c r="H70" i="24"/>
  <c r="G70" i="24"/>
  <c r="I149" i="26"/>
  <c r="E150" i="26"/>
  <c r="F150" i="26" s="1"/>
  <c r="H150" i="26" s="1"/>
  <c r="B150" i="26"/>
  <c r="I152" i="18"/>
  <c r="E153" i="18"/>
  <c r="F153" i="18" s="1"/>
  <c r="H153" i="18" s="1"/>
  <c r="B153" i="18"/>
  <c r="G70" i="19"/>
  <c r="I70" i="19" s="1"/>
  <c r="G71" i="4"/>
  <c r="I71" i="4" s="1"/>
  <c r="I62" i="37"/>
  <c r="B64" i="34"/>
  <c r="D71" i="18"/>
  <c r="E71" i="18" s="1"/>
  <c r="B64" i="35"/>
  <c r="D69" i="21"/>
  <c r="E69" i="21" s="1"/>
  <c r="B64" i="31"/>
  <c r="F66" i="25"/>
  <c r="H66" i="25" s="1"/>
  <c r="B66" i="25"/>
  <c r="B68" i="28"/>
  <c r="G70" i="18"/>
  <c r="I146" i="35"/>
  <c r="D68" i="22"/>
  <c r="E68" i="22" s="1"/>
  <c r="H68" i="21"/>
  <c r="B62" i="38"/>
  <c r="F62" i="38"/>
  <c r="G62" i="38" s="1"/>
  <c r="F63" i="37"/>
  <c r="G63" i="37" s="1"/>
  <c r="B63" i="37"/>
  <c r="E147" i="35"/>
  <c r="F147" i="35" s="1"/>
  <c r="H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I153" i="4"/>
  <c r="E146" i="37"/>
  <c r="F146" i="37" s="1"/>
  <c r="H146" i="37" s="1"/>
  <c r="B146" i="37"/>
  <c r="B154" i="4"/>
  <c r="E154" i="4"/>
  <c r="F154" i="4" s="1"/>
  <c r="H154" i="4" s="1"/>
  <c r="I145" i="37"/>
  <c r="I146" i="31"/>
  <c r="B147" i="31"/>
  <c r="E147" i="31"/>
  <c r="F147" i="31" s="1"/>
  <c r="H147" i="31" s="1"/>
  <c r="G150" i="25"/>
  <c r="D151" i="25"/>
  <c r="D151" i="21"/>
  <c r="G150" i="21"/>
  <c r="D147" i="38"/>
  <c r="G146" i="38"/>
  <c r="G150" i="24"/>
  <c r="D151" i="24"/>
  <c r="D148" i="13"/>
  <c r="E148" i="13" s="1"/>
  <c r="G147" i="13"/>
  <c r="F152" i="29"/>
  <c r="H152" i="29" s="1"/>
  <c r="B153" i="19"/>
  <c r="J149" i="27"/>
  <c r="B152" i="28"/>
  <c r="I151" i="29"/>
  <c r="I152" i="19"/>
  <c r="G150" i="27"/>
  <c r="D151" i="27"/>
  <c r="E153" i="19"/>
  <c r="F153" i="19" s="1"/>
  <c r="H153" i="19" s="1"/>
  <c r="G146" i="34"/>
  <c r="D147" i="34"/>
  <c r="J149" i="24"/>
  <c r="J149" i="21"/>
  <c r="B154" i="3"/>
  <c r="I154" i="23"/>
  <c r="E155" i="23"/>
  <c r="E156" i="23" s="1"/>
  <c r="B147" i="20"/>
  <c r="E147" i="20"/>
  <c r="F147" i="20" s="1"/>
  <c r="E154" i="3"/>
  <c r="F154" i="3" s="1"/>
  <c r="H154" i="3" s="1"/>
  <c r="B150" i="22"/>
  <c r="I153" i="3"/>
  <c r="I146" i="20"/>
  <c r="H146" i="20"/>
  <c r="I149" i="22"/>
  <c r="E64" i="39" l="1"/>
  <c r="F64" i="39"/>
  <c r="D65" i="39" s="1"/>
  <c r="B64" i="39"/>
  <c r="H64" i="39"/>
  <c r="E151" i="27"/>
  <c r="E151" i="21"/>
  <c r="F151" i="21" s="1"/>
  <c r="H151" i="21" s="1"/>
  <c r="E151" i="24"/>
  <c r="F151" i="24" s="1"/>
  <c r="H151" i="24" s="1"/>
  <c r="E147" i="38"/>
  <c r="F147" i="38" s="1"/>
  <c r="H147" i="38" s="1"/>
  <c r="E147" i="34"/>
  <c r="G146" i="39"/>
  <c r="D147" i="39"/>
  <c r="I70" i="24"/>
  <c r="J149" i="26"/>
  <c r="E71" i="24"/>
  <c r="F71" i="24" s="1"/>
  <c r="B71" i="24"/>
  <c r="G150" i="26"/>
  <c r="D151" i="26"/>
  <c r="G153" i="18"/>
  <c r="D154" i="18"/>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7" i="25"/>
  <c r="E67" i="25" s="1"/>
  <c r="G66" i="13"/>
  <c r="I66" i="13" s="1"/>
  <c r="I70" i="18"/>
  <c r="H68" i="27"/>
  <c r="I68" i="27" s="1"/>
  <c r="D68" i="26"/>
  <c r="E68" i="26" s="1"/>
  <c r="H62" i="38"/>
  <c r="I62" i="38" s="1"/>
  <c r="I68" i="28"/>
  <c r="D155" i="4"/>
  <c r="G154" i="4"/>
  <c r="G146" i="37"/>
  <c r="D147" i="37"/>
  <c r="J152" i="19"/>
  <c r="G147" i="31"/>
  <c r="D148" i="31"/>
  <c r="J153" i="3"/>
  <c r="G153" i="19"/>
  <c r="D154" i="19"/>
  <c r="J151" i="28"/>
  <c r="B147" i="38"/>
  <c r="H147" i="13"/>
  <c r="I147" i="13"/>
  <c r="G152" i="29"/>
  <c r="D153" i="29"/>
  <c r="B151" i="27"/>
  <c r="F151" i="27"/>
  <c r="H151" i="27" s="1"/>
  <c r="B148" i="13"/>
  <c r="F148" i="13"/>
  <c r="I150" i="21"/>
  <c r="I150" i="27"/>
  <c r="B151" i="21"/>
  <c r="B151" i="24"/>
  <c r="B151" i="25"/>
  <c r="I146" i="34"/>
  <c r="I150" i="24"/>
  <c r="I150" i="25"/>
  <c r="F147" i="34"/>
  <c r="H147" i="34" s="1"/>
  <c r="B147" i="34"/>
  <c r="I146" i="38"/>
  <c r="E151" i="25"/>
  <c r="F151" i="25" s="1"/>
  <c r="H151" i="25" s="1"/>
  <c r="J154" i="23"/>
  <c r="D155" i="3"/>
  <c r="G154" i="3"/>
  <c r="G150" i="22"/>
  <c r="D151" i="22"/>
  <c r="G147" i="20"/>
  <c r="D148" i="20"/>
  <c r="J146" i="20"/>
  <c r="J149" i="22"/>
  <c r="F155" i="23"/>
  <c r="E65" i="39" l="1"/>
  <c r="F65" i="39" s="1"/>
  <c r="B65" i="39"/>
  <c r="G64" i="39"/>
  <c r="I64" i="39" s="1"/>
  <c r="B151" i="26"/>
  <c r="B154" i="18"/>
  <c r="G155" i="23"/>
  <c r="I155" i="23" s="1"/>
  <c r="H155" i="23"/>
  <c r="H156" i="23" s="1"/>
  <c r="E147" i="39"/>
  <c r="F147" i="39" s="1"/>
  <c r="H147" i="39" s="1"/>
  <c r="B147" i="39"/>
  <c r="I146" i="39"/>
  <c r="G71" i="24"/>
  <c r="H71" i="24"/>
  <c r="D72" i="24"/>
  <c r="E154" i="18"/>
  <c r="F154" i="18" s="1"/>
  <c r="G154" i="18" s="1"/>
  <c r="E151" i="26"/>
  <c r="F151" i="26" s="1"/>
  <c r="H151" i="26" s="1"/>
  <c r="I150" i="26"/>
  <c r="J150" i="27"/>
  <c r="I153" i="18"/>
  <c r="I64" i="34"/>
  <c r="G71" i="18"/>
  <c r="I71" i="18" s="1"/>
  <c r="I68" i="23"/>
  <c r="H74" i="3"/>
  <c r="B69" i="28"/>
  <c r="D73" i="4"/>
  <c r="G73" i="3"/>
  <c r="G74" i="3" s="1"/>
  <c r="D72" i="18"/>
  <c r="E72" i="18" s="1"/>
  <c r="B148" i="35"/>
  <c r="E148" i="35"/>
  <c r="F148" i="35" s="1"/>
  <c r="H148" i="35" s="1"/>
  <c r="B64" i="37"/>
  <c r="F64" i="37"/>
  <c r="F66" i="29"/>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H72" i="4"/>
  <c r="G68" i="22"/>
  <c r="I68" i="22" s="1"/>
  <c r="F69" i="27"/>
  <c r="H69" i="27" s="1"/>
  <c r="B69" i="27"/>
  <c r="I64" i="31"/>
  <c r="E147" i="37"/>
  <c r="F147" i="37" s="1"/>
  <c r="H147" i="37" s="1"/>
  <c r="B147" i="37"/>
  <c r="I146" i="37"/>
  <c r="I154" i="4"/>
  <c r="E155" i="4"/>
  <c r="E156" i="4" s="1"/>
  <c r="B155" i="4"/>
  <c r="E148" i="31"/>
  <c r="F148" i="31" s="1"/>
  <c r="H148" i="31" s="1"/>
  <c r="B148" i="31"/>
  <c r="J150" i="24"/>
  <c r="I147" i="31"/>
  <c r="G151" i="25"/>
  <c r="D152" i="25"/>
  <c r="B153" i="28"/>
  <c r="D152" i="24"/>
  <c r="G151" i="24"/>
  <c r="G151" i="27"/>
  <c r="D152" i="27"/>
  <c r="G147" i="38"/>
  <c r="D148" i="38"/>
  <c r="B154" i="19"/>
  <c r="I152" i="29"/>
  <c r="D152" i="21"/>
  <c r="G151" i="21"/>
  <c r="I153" i="19"/>
  <c r="G148" i="13"/>
  <c r="D149" i="13"/>
  <c r="D148" i="34"/>
  <c r="G147" i="34"/>
  <c r="E153" i="29"/>
  <c r="F153" i="29" s="1"/>
  <c r="H153" i="29" s="1"/>
  <c r="E154" i="19"/>
  <c r="F154" i="19" s="1"/>
  <c r="H154" i="19" s="1"/>
  <c r="B155" i="3"/>
  <c r="E155" i="3"/>
  <c r="E156" i="3" s="1"/>
  <c r="B151" i="22"/>
  <c r="B148" i="20"/>
  <c r="H147" i="20"/>
  <c r="I147" i="20"/>
  <c r="I150" i="22"/>
  <c r="E148" i="20"/>
  <c r="F148" i="20" s="1"/>
  <c r="E151" i="22"/>
  <c r="F151" i="22" s="1"/>
  <c r="H151" i="22" s="1"/>
  <c r="I154" i="3"/>
  <c r="H65" i="39" l="1"/>
  <c r="D66" i="39"/>
  <c r="E66" i="39"/>
  <c r="F66" i="39" s="1"/>
  <c r="D67" i="39" s="1"/>
  <c r="G65" i="39"/>
  <c r="E152" i="27"/>
  <c r="E152" i="24"/>
  <c r="E152" i="25"/>
  <c r="F152" i="25" s="1"/>
  <c r="H152" i="25" s="1"/>
  <c r="H154" i="18"/>
  <c r="E148" i="38"/>
  <c r="G147" i="39"/>
  <c r="D148" i="39"/>
  <c r="I71" i="24"/>
  <c r="J153" i="18"/>
  <c r="H65" i="34"/>
  <c r="I65" i="34" s="1"/>
  <c r="H65" i="31"/>
  <c r="I65" i="31" s="1"/>
  <c r="J147" i="31"/>
  <c r="D155" i="18"/>
  <c r="I154" i="18"/>
  <c r="E72" i="24"/>
  <c r="F72" i="24" s="1"/>
  <c r="B72" i="24"/>
  <c r="J150" i="26"/>
  <c r="D152" i="26"/>
  <c r="G151" i="26"/>
  <c r="G69" i="27"/>
  <c r="I69" i="27" s="1"/>
  <c r="J150" i="22"/>
  <c r="H63" i="38"/>
  <c r="I63" i="38" s="1"/>
  <c r="G67" i="25"/>
  <c r="I67" i="25" s="1"/>
  <c r="H69" i="23"/>
  <c r="I69" i="23" s="1"/>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D148" i="37"/>
  <c r="G147" i="37"/>
  <c r="G148" i="31"/>
  <c r="D149" i="31"/>
  <c r="J153" i="19"/>
  <c r="G154" i="19"/>
  <c r="D155" i="19"/>
  <c r="G153" i="29"/>
  <c r="D154" i="29"/>
  <c r="B152" i="21"/>
  <c r="B149" i="13"/>
  <c r="B152" i="24"/>
  <c r="F152" i="24"/>
  <c r="H152" i="24" s="1"/>
  <c r="B148" i="34"/>
  <c r="H148" i="13"/>
  <c r="I148" i="13"/>
  <c r="J152" i="28"/>
  <c r="I147" i="34"/>
  <c r="E149" i="13"/>
  <c r="F149" i="13" s="1"/>
  <c r="B152" i="27"/>
  <c r="F152" i="27"/>
  <c r="H152" i="27" s="1"/>
  <c r="B148" i="38"/>
  <c r="F148" i="38"/>
  <c r="H148" i="38" s="1"/>
  <c r="I147" i="38"/>
  <c r="I151" i="27"/>
  <c r="B152" i="25"/>
  <c r="I151" i="21"/>
  <c r="I151" i="24"/>
  <c r="E148" i="34"/>
  <c r="F148" i="34" s="1"/>
  <c r="H148" i="34" s="1"/>
  <c r="E152" i="21"/>
  <c r="F152" i="21" s="1"/>
  <c r="H152" i="21" s="1"/>
  <c r="I151" i="25"/>
  <c r="G151" i="22"/>
  <c r="D152" i="22"/>
  <c r="J155" i="23"/>
  <c r="J156" i="23" s="1"/>
  <c r="I156" i="23"/>
  <c r="J154" i="3"/>
  <c r="D149" i="20"/>
  <c r="G148" i="20"/>
  <c r="J147" i="20"/>
  <c r="F155" i="3"/>
  <c r="G155" i="3" s="1"/>
  <c r="B66" i="39" l="1"/>
  <c r="H66" i="39"/>
  <c r="G66" i="39"/>
  <c r="E67" i="39"/>
  <c r="F67" i="39" s="1"/>
  <c r="B67" i="39"/>
  <c r="I65" i="39"/>
  <c r="J154" i="18"/>
  <c r="E155" i="19"/>
  <c r="E156" i="19" s="1"/>
  <c r="G155" i="4"/>
  <c r="I155" i="4" s="1"/>
  <c r="H155" i="4"/>
  <c r="H156" i="4" s="1"/>
  <c r="B155" i="18"/>
  <c r="B148" i="39"/>
  <c r="E148" i="39"/>
  <c r="F148" i="39" s="1"/>
  <c r="H148" i="39" s="1"/>
  <c r="I147" i="39"/>
  <c r="E155" i="18"/>
  <c r="E156" i="18" s="1"/>
  <c r="D73" i="24"/>
  <c r="B73" i="24" s="1"/>
  <c r="H72" i="24"/>
  <c r="G72" i="24"/>
  <c r="I151" i="26"/>
  <c r="E152" i="26"/>
  <c r="F152" i="26" s="1"/>
  <c r="H152" i="26" s="1"/>
  <c r="B152" i="26"/>
  <c r="G72" i="18"/>
  <c r="I72" i="18" s="1"/>
  <c r="G70" i="21"/>
  <c r="I70" i="21" s="1"/>
  <c r="I66" i="29"/>
  <c r="B66" i="35"/>
  <c r="D71" i="21"/>
  <c r="E71" i="21" s="1"/>
  <c r="F73" i="4"/>
  <c r="D70" i="22"/>
  <c r="B66" i="34"/>
  <c r="F66" i="34"/>
  <c r="H66" i="34" s="1"/>
  <c r="F67" i="29"/>
  <c r="I148" i="35"/>
  <c r="I64" i="37"/>
  <c r="F65" i="37"/>
  <c r="H65" i="37" s="1"/>
  <c r="B65" i="37"/>
  <c r="H72" i="19"/>
  <c r="I72" i="19" s="1"/>
  <c r="E149" i="35"/>
  <c r="F149" i="35" s="1"/>
  <c r="H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B70" i="28"/>
  <c r="I147" i="37"/>
  <c r="E148" i="37"/>
  <c r="F148" i="37" s="1"/>
  <c r="H148" i="37" s="1"/>
  <c r="B148" i="37"/>
  <c r="J151" i="24"/>
  <c r="J151" i="21"/>
  <c r="E149" i="31"/>
  <c r="F149" i="31" s="1"/>
  <c r="H149" i="31" s="1"/>
  <c r="B149" i="31"/>
  <c r="I148" i="31"/>
  <c r="J151" i="27"/>
  <c r="G149" i="13"/>
  <c r="D150" i="13"/>
  <c r="D149" i="34"/>
  <c r="G148" i="34"/>
  <c r="G152" i="25"/>
  <c r="D153" i="25"/>
  <c r="G152" i="24"/>
  <c r="D153" i="24"/>
  <c r="I153" i="29"/>
  <c r="B155" i="19"/>
  <c r="B154" i="28"/>
  <c r="D153" i="27"/>
  <c r="G152" i="27"/>
  <c r="I154" i="19"/>
  <c r="G152" i="21"/>
  <c r="D153" i="21"/>
  <c r="D149" i="38"/>
  <c r="G148" i="38"/>
  <c r="E154" i="29"/>
  <c r="F154" i="29" s="1"/>
  <c r="H154" i="29" s="1"/>
  <c r="H148" i="20"/>
  <c r="I148" i="20"/>
  <c r="B152" i="22"/>
  <c r="I151" i="22"/>
  <c r="B149" i="20"/>
  <c r="H155" i="3"/>
  <c r="H156" i="3" s="1"/>
  <c r="I155" i="3"/>
  <c r="E149" i="20"/>
  <c r="F149" i="20" s="1"/>
  <c r="E152" i="22"/>
  <c r="F152" i="22" s="1"/>
  <c r="H152" i="22" s="1"/>
  <c r="F155" i="19" l="1"/>
  <c r="G155" i="19" s="1"/>
  <c r="D68" i="39"/>
  <c r="H67" i="39"/>
  <c r="G67" i="39"/>
  <c r="I66" i="39"/>
  <c r="H155" i="19"/>
  <c r="E153" i="24"/>
  <c r="F153" i="24" s="1"/>
  <c r="H153" i="24" s="1"/>
  <c r="E153" i="27"/>
  <c r="F153" i="27" s="1"/>
  <c r="H153" i="27" s="1"/>
  <c r="E149" i="34"/>
  <c r="F149" i="34" s="1"/>
  <c r="H149" i="34" s="1"/>
  <c r="D149" i="39"/>
  <c r="G148" i="39"/>
  <c r="F155" i="18"/>
  <c r="E73" i="24"/>
  <c r="E74" i="24" s="1"/>
  <c r="I72" i="24"/>
  <c r="G152" i="26"/>
  <c r="D153" i="26"/>
  <c r="J151" i="26"/>
  <c r="I70" i="28"/>
  <c r="G70" i="23"/>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I70" i="23"/>
  <c r="D71" i="27"/>
  <c r="E71" i="27" s="1"/>
  <c r="B73" i="19"/>
  <c r="F73" i="19"/>
  <c r="H73" i="19" s="1"/>
  <c r="G67" i="29"/>
  <c r="D69" i="13"/>
  <c r="E69" i="13" s="1"/>
  <c r="G68" i="13"/>
  <c r="I68" i="13" s="1"/>
  <c r="J148" i="31"/>
  <c r="D67" i="31"/>
  <c r="E67" i="31" s="1"/>
  <c r="D71" i="23"/>
  <c r="E71" i="23" s="1"/>
  <c r="H68" i="25"/>
  <c r="I68" i="25" s="1"/>
  <c r="G65" i="37"/>
  <c r="I65" i="37" s="1"/>
  <c r="H67" i="29"/>
  <c r="E70" i="22"/>
  <c r="F70" i="22" s="1"/>
  <c r="G148" i="37"/>
  <c r="D149" i="37"/>
  <c r="J155" i="4"/>
  <c r="J156" i="4" s="1"/>
  <c r="I156" i="4"/>
  <c r="J154" i="19"/>
  <c r="J148" i="20"/>
  <c r="G149" i="31"/>
  <c r="D150" i="31"/>
  <c r="J153" i="28"/>
  <c r="G154" i="29"/>
  <c r="D155" i="29"/>
  <c r="B153" i="21"/>
  <c r="I148" i="38"/>
  <c r="I155" i="19"/>
  <c r="H156" i="19"/>
  <c r="B153" i="24"/>
  <c r="I152" i="25"/>
  <c r="B149" i="38"/>
  <c r="I152" i="24"/>
  <c r="I148" i="34"/>
  <c r="E149" i="38"/>
  <c r="F149" i="38" s="1"/>
  <c r="H149" i="38" s="1"/>
  <c r="B149" i="34"/>
  <c r="I152" i="21"/>
  <c r="I152" i="27"/>
  <c r="B150" i="13"/>
  <c r="B153" i="27"/>
  <c r="B153" i="25"/>
  <c r="H149" i="13"/>
  <c r="I149" i="13"/>
  <c r="E153" i="21"/>
  <c r="F153" i="21" s="1"/>
  <c r="H153" i="21" s="1"/>
  <c r="E153" i="25"/>
  <c r="F153" i="25" s="1"/>
  <c r="H153" i="25" s="1"/>
  <c r="E150" i="13"/>
  <c r="F150" i="13" s="1"/>
  <c r="G152" i="22"/>
  <c r="D153" i="22"/>
  <c r="G149" i="20"/>
  <c r="D150" i="20"/>
  <c r="J151" i="22"/>
  <c r="J155" i="3"/>
  <c r="J156" i="3" s="1"/>
  <c r="I156" i="3"/>
  <c r="I67" i="39" l="1"/>
  <c r="E68" i="39"/>
  <c r="F68" i="39" s="1"/>
  <c r="D69" i="39" s="1"/>
  <c r="B68" i="39"/>
  <c r="E153" i="22"/>
  <c r="G155" i="18"/>
  <c r="I155" i="18" s="1"/>
  <c r="H155" i="18"/>
  <c r="E150" i="31"/>
  <c r="E155" i="29"/>
  <c r="E156" i="29" s="1"/>
  <c r="E156" i="28"/>
  <c r="I148" i="39"/>
  <c r="E149" i="39"/>
  <c r="F149" i="39" s="1"/>
  <c r="H149" i="39" s="1"/>
  <c r="B149" i="39"/>
  <c r="F73" i="24"/>
  <c r="E153" i="26"/>
  <c r="F153" i="26" s="1"/>
  <c r="H153" i="26" s="1"/>
  <c r="B153" i="26"/>
  <c r="I152" i="26"/>
  <c r="G73" i="18"/>
  <c r="G74" i="18" s="1"/>
  <c r="I67" i="29"/>
  <c r="G73" i="19"/>
  <c r="G74" i="19" s="1"/>
  <c r="G71" i="21"/>
  <c r="I71" i="21" s="1"/>
  <c r="I66" i="35"/>
  <c r="D71" i="22"/>
  <c r="E71" i="22" s="1"/>
  <c r="G70" i="22"/>
  <c r="H70" i="22"/>
  <c r="I73" i="4"/>
  <c r="I74" i="4" s="1"/>
  <c r="H74" i="4"/>
  <c r="I149" i="35"/>
  <c r="E150" i="35"/>
  <c r="F150" i="35" s="1"/>
  <c r="H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B67" i="35"/>
  <c r="F67" i="35"/>
  <c r="H67" i="35" s="1"/>
  <c r="E149" i="37"/>
  <c r="F149" i="37" s="1"/>
  <c r="H149" i="37" s="1"/>
  <c r="B149" i="37"/>
  <c r="I148" i="37"/>
  <c r="J152" i="24"/>
  <c r="F150" i="31"/>
  <c r="H150" i="31" s="1"/>
  <c r="B150" i="31"/>
  <c r="I149" i="31"/>
  <c r="J152" i="27"/>
  <c r="D154" i="21"/>
  <c r="G153" i="21"/>
  <c r="D154" i="25"/>
  <c r="G153" i="25"/>
  <c r="G150" i="13"/>
  <c r="D151" i="13"/>
  <c r="E151" i="13" s="1"/>
  <c r="J152" i="21"/>
  <c r="G153" i="27"/>
  <c r="D154" i="27"/>
  <c r="G149" i="34"/>
  <c r="D150" i="34"/>
  <c r="D150" i="38"/>
  <c r="G149" i="38"/>
  <c r="B155" i="28"/>
  <c r="G153" i="24"/>
  <c r="D154" i="24"/>
  <c r="F155" i="29"/>
  <c r="G155" i="29" s="1"/>
  <c r="J155" i="19"/>
  <c r="J156" i="19" s="1"/>
  <c r="I156" i="19"/>
  <c r="I154" i="29"/>
  <c r="H149" i="20"/>
  <c r="I149" i="20"/>
  <c r="B150" i="20"/>
  <c r="E150" i="20"/>
  <c r="F150" i="20" s="1"/>
  <c r="B153" i="22"/>
  <c r="F153" i="22"/>
  <c r="H153" i="22" s="1"/>
  <c r="I152" i="22"/>
  <c r="E69" i="39" l="1"/>
  <c r="B69" i="39"/>
  <c r="F69" i="39"/>
  <c r="H69" i="39"/>
  <c r="H68" i="39"/>
  <c r="G68" i="39"/>
  <c r="E154" i="25"/>
  <c r="F154" i="25" s="1"/>
  <c r="H154" i="25" s="1"/>
  <c r="E154" i="24"/>
  <c r="E154" i="27"/>
  <c r="E154" i="21"/>
  <c r="F154" i="21" s="1"/>
  <c r="H154" i="21" s="1"/>
  <c r="H156" i="18"/>
  <c r="E150" i="38"/>
  <c r="F150" i="38" s="1"/>
  <c r="H150" i="38" s="1"/>
  <c r="H155" i="29"/>
  <c r="H156" i="29" s="1"/>
  <c r="H156" i="28"/>
  <c r="G149" i="39"/>
  <c r="D150" i="39"/>
  <c r="I156" i="18"/>
  <c r="J155" i="18"/>
  <c r="J156" i="18" s="1"/>
  <c r="I73" i="18"/>
  <c r="I74" i="18" s="1"/>
  <c r="H73" i="24"/>
  <c r="G73" i="24"/>
  <c r="G74" i="24" s="1"/>
  <c r="J152" i="26"/>
  <c r="D154" i="26"/>
  <c r="G153" i="26"/>
  <c r="I73" i="19"/>
  <c r="I74" i="19" s="1"/>
  <c r="I70" i="22"/>
  <c r="H70" i="26"/>
  <c r="I70" i="26" s="1"/>
  <c r="H65" i="38"/>
  <c r="I65" i="38" s="1"/>
  <c r="G71" i="23"/>
  <c r="I71" i="23" s="1"/>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I149" i="34"/>
  <c r="I153" i="25"/>
  <c r="E150" i="34"/>
  <c r="F150" i="34" s="1"/>
  <c r="H150" i="34" s="1"/>
  <c r="H150" i="13"/>
  <c r="I150" i="13"/>
  <c r="B154" i="27"/>
  <c r="F154" i="27"/>
  <c r="H154" i="27" s="1"/>
  <c r="B154" i="25"/>
  <c r="F154" i="24"/>
  <c r="H154" i="24" s="1"/>
  <c r="B154" i="24"/>
  <c r="I149" i="38"/>
  <c r="I153" i="27"/>
  <c r="J149" i="20"/>
  <c r="I153" i="24"/>
  <c r="I153" i="21"/>
  <c r="I155" i="29"/>
  <c r="I156" i="29" s="1"/>
  <c r="B150" i="38"/>
  <c r="B151" i="13"/>
  <c r="F151" i="13"/>
  <c r="B154" i="21"/>
  <c r="G150" i="20"/>
  <c r="D151" i="20"/>
  <c r="D154" i="22"/>
  <c r="G153" i="22"/>
  <c r="J152" i="22"/>
  <c r="G69" i="39" l="1"/>
  <c r="I69" i="39" s="1"/>
  <c r="D70" i="39"/>
  <c r="I68" i="39"/>
  <c r="E154" i="22"/>
  <c r="F154" i="22" s="1"/>
  <c r="H154" i="22" s="1"/>
  <c r="B150" i="39"/>
  <c r="I149" i="39"/>
  <c r="E150" i="39"/>
  <c r="F150" i="39" s="1"/>
  <c r="H150" i="39" s="1"/>
  <c r="H74" i="24"/>
  <c r="I73" i="24"/>
  <c r="I74" i="24" s="1"/>
  <c r="I153" i="26"/>
  <c r="B154" i="26"/>
  <c r="E154" i="26"/>
  <c r="F154" i="26" s="1"/>
  <c r="H154" i="26" s="1"/>
  <c r="I67" i="34"/>
  <c r="G72" i="21"/>
  <c r="I72" i="21" s="1"/>
  <c r="B70" i="25"/>
  <c r="B68" i="31"/>
  <c r="F68" i="31"/>
  <c r="H68" i="31" s="1"/>
  <c r="F72" i="27"/>
  <c r="G72" i="27" s="1"/>
  <c r="B72" i="27"/>
  <c r="B66" i="38"/>
  <c r="F66" i="38"/>
  <c r="B71" i="26"/>
  <c r="F71" i="26"/>
  <c r="G71" i="26" s="1"/>
  <c r="B68" i="34"/>
  <c r="F68" i="34"/>
  <c r="G68" i="34" s="1"/>
  <c r="I71" i="28"/>
  <c r="I150" i="35"/>
  <c r="F67" i="37"/>
  <c r="H67" i="37" s="1"/>
  <c r="B67" i="37"/>
  <c r="D73" i="21"/>
  <c r="E73" i="21" s="1"/>
  <c r="E74" i="21" s="1"/>
  <c r="D72" i="22"/>
  <c r="E72" i="22" s="1"/>
  <c r="E151" i="35"/>
  <c r="F151" i="35" s="1"/>
  <c r="H151" i="35" s="1"/>
  <c r="B151" i="35"/>
  <c r="B70" i="13"/>
  <c r="F70" i="13"/>
  <c r="G70" i="13" s="1"/>
  <c r="B72" i="28"/>
  <c r="G71" i="22"/>
  <c r="I71" i="22" s="1"/>
  <c r="B72" i="23"/>
  <c r="F72" i="23"/>
  <c r="G72" i="23" s="1"/>
  <c r="F68" i="35"/>
  <c r="G68" i="35" s="1"/>
  <c r="B68" i="35"/>
  <c r="F69" i="29"/>
  <c r="G69" i="29" s="1"/>
  <c r="E70" i="25"/>
  <c r="F70" i="25" s="1"/>
  <c r="I149" i="37"/>
  <c r="E150" i="37"/>
  <c r="F150" i="37" s="1"/>
  <c r="H150" i="37" s="1"/>
  <c r="B150" i="37"/>
  <c r="B151" i="31"/>
  <c r="I150" i="31"/>
  <c r="E151" i="31"/>
  <c r="F151" i="31" s="1"/>
  <c r="H151" i="31" s="1"/>
  <c r="J153" i="24"/>
  <c r="G150" i="34"/>
  <c r="D151" i="34"/>
  <c r="D155" i="21"/>
  <c r="G154" i="21"/>
  <c r="J153" i="27"/>
  <c r="G154" i="25"/>
  <c r="D155" i="25"/>
  <c r="D155" i="27"/>
  <c r="G154" i="27"/>
  <c r="D151" i="38"/>
  <c r="G150" i="38"/>
  <c r="J153" i="21"/>
  <c r="G154" i="24"/>
  <c r="D155" i="24"/>
  <c r="G151" i="13"/>
  <c r="D152" i="13"/>
  <c r="J155" i="28"/>
  <c r="J156" i="28" s="1"/>
  <c r="I156" i="28"/>
  <c r="B154" i="22"/>
  <c r="I150" i="20"/>
  <c r="H150" i="20"/>
  <c r="I153" i="22"/>
  <c r="B151" i="20"/>
  <c r="E151" i="20"/>
  <c r="F151" i="20" s="1"/>
  <c r="E70" i="39" l="1"/>
  <c r="F70" i="39" s="1"/>
  <c r="B70" i="39"/>
  <c r="E155" i="25"/>
  <c r="E156" i="25" s="1"/>
  <c r="E155" i="24"/>
  <c r="E156" i="24" s="1"/>
  <c r="E155" i="21"/>
  <c r="E156" i="21" s="1"/>
  <c r="E155" i="27"/>
  <c r="E156" i="27" s="1"/>
  <c r="E151" i="38"/>
  <c r="E151" i="34"/>
  <c r="F151" i="34" s="1"/>
  <c r="H151" i="34" s="1"/>
  <c r="G150" i="39"/>
  <c r="D151" i="39"/>
  <c r="D155" i="26"/>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E74" i="28"/>
  <c r="D68" i="37"/>
  <c r="E68" i="37" s="1"/>
  <c r="I72" i="28"/>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G151" i="31"/>
  <c r="I150" i="38"/>
  <c r="I154" i="24"/>
  <c r="I154" i="25"/>
  <c r="I154" i="21"/>
  <c r="B155" i="24"/>
  <c r="B155" i="21"/>
  <c r="F151" i="38"/>
  <c r="H151" i="38" s="1"/>
  <c r="B151" i="38"/>
  <c r="H151" i="13"/>
  <c r="I151" i="13"/>
  <c r="I154" i="27"/>
  <c r="B151" i="34"/>
  <c r="B155" i="25"/>
  <c r="F155" i="25"/>
  <c r="G155" i="25" s="1"/>
  <c r="B152" i="13"/>
  <c r="E152" i="13"/>
  <c r="F152" i="13" s="1"/>
  <c r="B155" i="27"/>
  <c r="I150" i="34"/>
  <c r="G151" i="20"/>
  <c r="D152" i="20"/>
  <c r="D155" i="22"/>
  <c r="G154" i="22"/>
  <c r="J153" i="22"/>
  <c r="J150" i="20"/>
  <c r="D71" i="39" l="1"/>
  <c r="G70" i="39"/>
  <c r="E71" i="39"/>
  <c r="F71" i="39" s="1"/>
  <c r="G71" i="39" s="1"/>
  <c r="B71" i="39"/>
  <c r="H70" i="39"/>
  <c r="F155" i="21"/>
  <c r="G155" i="21" s="1"/>
  <c r="F155" i="27"/>
  <c r="G155" i="27" s="1"/>
  <c r="H155" i="21"/>
  <c r="H156" i="21" s="1"/>
  <c r="H155" i="25"/>
  <c r="H156" i="25" s="1"/>
  <c r="F155" i="24"/>
  <c r="E155" i="22"/>
  <c r="E156" i="22" s="1"/>
  <c r="E152" i="31"/>
  <c r="B151" i="39"/>
  <c r="I150" i="39"/>
  <c r="E151" i="39"/>
  <c r="F151" i="39" s="1"/>
  <c r="H151" i="39" s="1"/>
  <c r="I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I151" i="35"/>
  <c r="F71" i="13"/>
  <c r="H71" i="13" s="1"/>
  <c r="B71" i="13"/>
  <c r="E73" i="23"/>
  <c r="E74" i="23" s="1"/>
  <c r="B73" i="28"/>
  <c r="E152" i="35"/>
  <c r="F152" i="35" s="1"/>
  <c r="H152" i="35" s="1"/>
  <c r="B152" i="35"/>
  <c r="F71" i="25"/>
  <c r="H71" i="25" s="1"/>
  <c r="B71" i="25"/>
  <c r="I150" i="37"/>
  <c r="E151" i="37"/>
  <c r="F151" i="37" s="1"/>
  <c r="H151" i="37" s="1"/>
  <c r="B151" i="37"/>
  <c r="I151" i="31"/>
  <c r="B152" i="31"/>
  <c r="F152" i="31"/>
  <c r="H152" i="31" s="1"/>
  <c r="J154" i="24"/>
  <c r="J154" i="27"/>
  <c r="G152" i="13"/>
  <c r="D153" i="13"/>
  <c r="E153" i="13" s="1"/>
  <c r="G151" i="34"/>
  <c r="D152" i="34"/>
  <c r="I155" i="25"/>
  <c r="I156" i="25" s="1"/>
  <c r="I155" i="27"/>
  <c r="G151" i="38"/>
  <c r="D152" i="38"/>
  <c r="I155" i="21"/>
  <c r="I154" i="22"/>
  <c r="B152" i="20"/>
  <c r="F155" i="22"/>
  <c r="G155" i="22" s="1"/>
  <c r="B155" i="22"/>
  <c r="E152" i="20"/>
  <c r="F152" i="20" s="1"/>
  <c r="H151" i="20"/>
  <c r="I151" i="20"/>
  <c r="H71" i="39" l="1"/>
  <c r="I71" i="39" s="1"/>
  <c r="D72" i="39"/>
  <c r="I70" i="39"/>
  <c r="H155" i="27"/>
  <c r="H156" i="27" s="1"/>
  <c r="G155" i="24"/>
  <c r="I155" i="24" s="1"/>
  <c r="H155" i="24"/>
  <c r="H156" i="24" s="1"/>
  <c r="H155" i="22"/>
  <c r="E152" i="38"/>
  <c r="F152" i="38" s="1"/>
  <c r="H152" i="38" s="1"/>
  <c r="G151" i="39"/>
  <c r="D152" i="39"/>
  <c r="J151" i="31"/>
  <c r="G69" i="31"/>
  <c r="I69" i="31" s="1"/>
  <c r="F155" i="26"/>
  <c r="J154" i="26"/>
  <c r="J154" i="22"/>
  <c r="G71" i="13"/>
  <c r="I71" i="13" s="1"/>
  <c r="G69" i="34"/>
  <c r="I69" i="34" s="1"/>
  <c r="H68" i="37"/>
  <c r="I68" i="37" s="1"/>
  <c r="G74" i="28"/>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G152" i="31"/>
  <c r="B152" i="34"/>
  <c r="J155" i="21"/>
  <c r="J156" i="21" s="1"/>
  <c r="I156" i="21"/>
  <c r="J155" i="27"/>
  <c r="J156" i="27" s="1"/>
  <c r="I156" i="27"/>
  <c r="I151" i="34"/>
  <c r="J155" i="24"/>
  <c r="J156" i="24" s="1"/>
  <c r="I156" i="24"/>
  <c r="B152" i="38"/>
  <c r="I151" i="38"/>
  <c r="B153" i="13"/>
  <c r="F153" i="13"/>
  <c r="E152" i="34"/>
  <c r="F152" i="34" s="1"/>
  <c r="H152" i="34" s="1"/>
  <c r="H152" i="13"/>
  <c r="I152" i="13"/>
  <c r="G152" i="20"/>
  <c r="D153" i="20"/>
  <c r="I155" i="22"/>
  <c r="H156" i="22"/>
  <c r="J151" i="20"/>
  <c r="E72" i="39" l="1"/>
  <c r="F72" i="39" s="1"/>
  <c r="G72" i="39" s="1"/>
  <c r="G155" i="26"/>
  <c r="I155" i="26" s="1"/>
  <c r="H155" i="26"/>
  <c r="H156" i="26" s="1"/>
  <c r="B153" i="31"/>
  <c r="B152" i="39"/>
  <c r="E152" i="39"/>
  <c r="F152" i="39" s="1"/>
  <c r="H152" i="39" s="1"/>
  <c r="I151" i="39"/>
  <c r="I73" i="28"/>
  <c r="I74" i="28" s="1"/>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I67" i="38"/>
  <c r="F73" i="22"/>
  <c r="E69" i="37"/>
  <c r="F69" i="37" s="1"/>
  <c r="B73" i="26"/>
  <c r="F73" i="26"/>
  <c r="H73" i="26" s="1"/>
  <c r="E153" i="35"/>
  <c r="F153" i="35" s="1"/>
  <c r="H153" i="35" s="1"/>
  <c r="B153" i="35"/>
  <c r="I73" i="27"/>
  <c r="I74" i="27" s="1"/>
  <c r="E152" i="37"/>
  <c r="F152" i="37" s="1"/>
  <c r="H152" i="37" s="1"/>
  <c r="B152" i="37"/>
  <c r="I151" i="37"/>
  <c r="I152" i="31"/>
  <c r="G152" i="34"/>
  <c r="D153" i="34"/>
  <c r="D154" i="13"/>
  <c r="E154" i="13" s="1"/>
  <c r="G153" i="13"/>
  <c r="G152" i="38"/>
  <c r="D153" i="38"/>
  <c r="J155" i="22"/>
  <c r="J156" i="22" s="1"/>
  <c r="I156" i="22"/>
  <c r="H152" i="20"/>
  <c r="I152" i="20"/>
  <c r="B153" i="20"/>
  <c r="E153" i="20"/>
  <c r="F153" i="20" s="1"/>
  <c r="H72" i="39" l="1"/>
  <c r="D73" i="39"/>
  <c r="H153" i="31"/>
  <c r="J153" i="31" s="1"/>
  <c r="E153" i="38"/>
  <c r="F153" i="38" s="1"/>
  <c r="H153" i="38" s="1"/>
  <c r="E153" i="34"/>
  <c r="D153" i="39"/>
  <c r="G152" i="39"/>
  <c r="G73" i="26"/>
  <c r="G74" i="26" s="1"/>
  <c r="D154" i="3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I152" i="38"/>
  <c r="H153" i="13"/>
  <c r="I153" i="13"/>
  <c r="B154" i="13"/>
  <c r="F154" i="13"/>
  <c r="J152" i="20"/>
  <c r="F153" i="34"/>
  <c r="H153" i="34" s="1"/>
  <c r="B153" i="34"/>
  <c r="B153" i="38"/>
  <c r="I152" i="34"/>
  <c r="D154" i="20"/>
  <c r="G153" i="20"/>
  <c r="E73" i="39" l="1"/>
  <c r="E74" i="39" s="1"/>
  <c r="B73" i="39"/>
  <c r="I72" i="39"/>
  <c r="E153" i="39"/>
  <c r="F153" i="39" s="1"/>
  <c r="H153" i="39" s="1"/>
  <c r="E154" i="31"/>
  <c r="I152" i="39"/>
  <c r="B153" i="39"/>
  <c r="I73" i="26"/>
  <c r="I74" i="26" s="1"/>
  <c r="B154" i="31"/>
  <c r="F154" i="31"/>
  <c r="G154" i="31" s="1"/>
  <c r="I70" i="34"/>
  <c r="I70" i="35"/>
  <c r="I72" i="13"/>
  <c r="F69" i="38"/>
  <c r="G69" i="38" s="1"/>
  <c r="B69" i="38"/>
  <c r="F73" i="25"/>
  <c r="G73" i="25" s="1"/>
  <c r="G74" i="25" s="1"/>
  <c r="B73" i="25"/>
  <c r="I69" i="37"/>
  <c r="B70" i="37"/>
  <c r="F70" i="37"/>
  <c r="G70" i="37" s="1"/>
  <c r="B71" i="35"/>
  <c r="F71" i="35"/>
  <c r="H71" i="35" s="1"/>
  <c r="F72" i="29"/>
  <c r="B71" i="34"/>
  <c r="F71" i="34"/>
  <c r="H71" i="34" s="1"/>
  <c r="I153" i="35"/>
  <c r="I73" i="22"/>
  <c r="I74" i="22" s="1"/>
  <c r="H74" i="22"/>
  <c r="F71" i="31"/>
  <c r="G71" i="31" s="1"/>
  <c r="B71" i="31"/>
  <c r="B73" i="13"/>
  <c r="E154" i="35"/>
  <c r="F154" i="35" s="1"/>
  <c r="H154" i="35" s="1"/>
  <c r="B154" i="35"/>
  <c r="E73" i="13"/>
  <c r="E74" i="13" s="1"/>
  <c r="E153" i="37"/>
  <c r="F153" i="37" s="1"/>
  <c r="H153" i="37" s="1"/>
  <c r="B153" i="37"/>
  <c r="I152" i="37"/>
  <c r="G153" i="38"/>
  <c r="D154" i="38"/>
  <c r="D155" i="13"/>
  <c r="G154" i="13"/>
  <c r="D154" i="34"/>
  <c r="G153" i="34"/>
  <c r="B154" i="20"/>
  <c r="H153" i="20"/>
  <c r="I153" i="20"/>
  <c r="E154" i="20"/>
  <c r="F154" i="20" s="1"/>
  <c r="F73" i="39" l="1"/>
  <c r="E154" i="38"/>
  <c r="E154" i="34"/>
  <c r="H154" i="31"/>
  <c r="D154" i="39"/>
  <c r="G153" i="39"/>
  <c r="I154" i="31"/>
  <c r="D155" i="3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5" i="13"/>
  <c r="H154" i="13"/>
  <c r="I154" i="13"/>
  <c r="I153" i="34"/>
  <c r="F154" i="38"/>
  <c r="H154" i="38" s="1"/>
  <c r="B154" i="38"/>
  <c r="B154" i="34"/>
  <c r="F154" i="34"/>
  <c r="H154" i="34" s="1"/>
  <c r="I153" i="38"/>
  <c r="J153" i="20"/>
  <c r="E155" i="13"/>
  <c r="E156" i="13" s="1"/>
  <c r="D155" i="20"/>
  <c r="E155" i="20" s="1"/>
  <c r="E156" i="20" s="1"/>
  <c r="G154" i="20"/>
  <c r="G73" i="39" l="1"/>
  <c r="G74" i="39" s="1"/>
  <c r="H73" i="39"/>
  <c r="J154" i="31"/>
  <c r="B154" i="37"/>
  <c r="E155" i="31"/>
  <c r="E156" i="31" s="1"/>
  <c r="I153" i="39"/>
  <c r="B154" i="39"/>
  <c r="E154" i="39"/>
  <c r="F154" i="39" s="1"/>
  <c r="H154" i="39" s="1"/>
  <c r="B155" i="31"/>
  <c r="E154" i="37"/>
  <c r="F154" i="37" s="1"/>
  <c r="H154" i="37" s="1"/>
  <c r="I73" i="25"/>
  <c r="I74" i="25" s="1"/>
  <c r="H74" i="25"/>
  <c r="F72" i="34"/>
  <c r="G72" i="34" s="1"/>
  <c r="B70" i="38"/>
  <c r="F70" i="38"/>
  <c r="F71" i="37"/>
  <c r="G71" i="37" s="1"/>
  <c r="B71" i="37"/>
  <c r="I72" i="29"/>
  <c r="H73" i="13"/>
  <c r="G73" i="13"/>
  <c r="G74" i="13" s="1"/>
  <c r="F73" i="29"/>
  <c r="G73" i="29" s="1"/>
  <c r="G74" i="29" s="1"/>
  <c r="F72" i="35"/>
  <c r="H72" i="35" s="1"/>
  <c r="I154" i="35"/>
  <c r="E155" i="35"/>
  <c r="E156" i="35" s="1"/>
  <c r="B155" i="35"/>
  <c r="F72" i="31"/>
  <c r="G72" i="31" s="1"/>
  <c r="B72" i="31"/>
  <c r="I153" i="37"/>
  <c r="D155" i="34"/>
  <c r="G154" i="34"/>
  <c r="G154" i="38"/>
  <c r="D155" i="38"/>
  <c r="F155" i="13"/>
  <c r="G155" i="13" s="1"/>
  <c r="I154" i="20"/>
  <c r="H154" i="20"/>
  <c r="B155" i="20"/>
  <c r="F155" i="20"/>
  <c r="G155" i="20" s="1"/>
  <c r="I73" i="39" l="1"/>
  <c r="I74" i="39" s="1"/>
  <c r="H74" i="39"/>
  <c r="F155" i="31"/>
  <c r="G155" i="31" s="1"/>
  <c r="I155" i="31" s="1"/>
  <c r="E155" i="38"/>
  <c r="E156" i="38" s="1"/>
  <c r="E155" i="34"/>
  <c r="E156" i="34" s="1"/>
  <c r="H155" i="31"/>
  <c r="H156" i="31" s="1"/>
  <c r="G154" i="39"/>
  <c r="D155" i="39"/>
  <c r="H72" i="34"/>
  <c r="I72" i="34" s="1"/>
  <c r="F155" i="35"/>
  <c r="D155" i="37"/>
  <c r="G154" i="37"/>
  <c r="H72" i="31"/>
  <c r="I72" i="31" s="1"/>
  <c r="H73" i="29"/>
  <c r="I73" i="29" s="1"/>
  <c r="I74" i="29" s="1"/>
  <c r="H71" i="37"/>
  <c r="I71" i="37" s="1"/>
  <c r="D71" i="38"/>
  <c r="E71" i="38" s="1"/>
  <c r="G70" i="38"/>
  <c r="D73" i="35"/>
  <c r="E73" i="35" s="1"/>
  <c r="E74" i="35" s="1"/>
  <c r="D73" i="31"/>
  <c r="G72" i="35"/>
  <c r="I72" i="35" s="1"/>
  <c r="D73" i="34"/>
  <c r="E73" i="34" s="1"/>
  <c r="E74" i="34" s="1"/>
  <c r="D72" i="37"/>
  <c r="E72" i="37" s="1"/>
  <c r="I73" i="13"/>
  <c r="I74" i="13" s="1"/>
  <c r="H74" i="13"/>
  <c r="H70" i="38"/>
  <c r="B155" i="38"/>
  <c r="F155" i="38"/>
  <c r="G155" i="38" s="1"/>
  <c r="I154" i="38"/>
  <c r="I156" i="31"/>
  <c r="I154" i="34"/>
  <c r="H155" i="13"/>
  <c r="H156" i="13" s="1"/>
  <c r="I155" i="13"/>
  <c r="I156" i="13" s="1"/>
  <c r="B155" i="34"/>
  <c r="H155" i="20"/>
  <c r="H156" i="20" s="1"/>
  <c r="I155" i="20"/>
  <c r="J154" i="20"/>
  <c r="H74" i="29" l="1"/>
  <c r="F155" i="34"/>
  <c r="G155" i="34" s="1"/>
  <c r="J155" i="31"/>
  <c r="J156" i="31" s="1"/>
  <c r="H155" i="38"/>
  <c r="H156" i="38" s="1"/>
  <c r="G155" i="35"/>
  <c r="I155" i="35" s="1"/>
  <c r="I156" i="35" s="1"/>
  <c r="H155" i="35"/>
  <c r="H155" i="34"/>
  <c r="H156" i="34" s="1"/>
  <c r="B155" i="39"/>
  <c r="E155" i="39"/>
  <c r="E156" i="39" s="1"/>
  <c r="I154" i="39"/>
  <c r="I70" i="38"/>
  <c r="I154" i="37"/>
  <c r="E155" i="37"/>
  <c r="B155" i="37"/>
  <c r="B73" i="31"/>
  <c r="F73" i="35"/>
  <c r="H73" i="35" s="1"/>
  <c r="B73" i="35"/>
  <c r="B73" i="34"/>
  <c r="F73" i="34"/>
  <c r="H73" i="34" s="1"/>
  <c r="F72" i="37"/>
  <c r="H72" i="37" s="1"/>
  <c r="F71" i="38"/>
  <c r="G71" i="38" s="1"/>
  <c r="B71" i="38"/>
  <c r="E73" i="31"/>
  <c r="E74" i="31" s="1"/>
  <c r="I155" i="34"/>
  <c r="I156" i="34" s="1"/>
  <c r="I155" i="38"/>
  <c r="I156" i="38" s="1"/>
  <c r="J155" i="20"/>
  <c r="J156" i="20" s="1"/>
  <c r="I156" i="20"/>
  <c r="H156" i="35" l="1"/>
  <c r="F155" i="39"/>
  <c r="H155" i="39" s="1"/>
  <c r="G73" i="35"/>
  <c r="G74" i="35" s="1"/>
  <c r="G73" i="34"/>
  <c r="G74" i="34" s="1"/>
  <c r="E156" i="37"/>
  <c r="F155" i="37"/>
  <c r="H71" i="38"/>
  <c r="I71" i="38" s="1"/>
  <c r="H74" i="34"/>
  <c r="H74" i="35"/>
  <c r="D73" i="37"/>
  <c r="F73" i="31"/>
  <c r="G72" i="37"/>
  <c r="I72" i="37" s="1"/>
  <c r="D72" i="38"/>
  <c r="E72" i="38" s="1"/>
  <c r="I73" i="35" l="1"/>
  <c r="I74" i="35" s="1"/>
  <c r="I73" i="34"/>
  <c r="I74" i="34" s="1"/>
  <c r="G155" i="39"/>
  <c r="I155" i="39" s="1"/>
  <c r="I156" i="39" s="1"/>
  <c r="G155" i="37"/>
  <c r="I155" i="37" s="1"/>
  <c r="I156" i="37" s="1"/>
  <c r="H155" i="37"/>
  <c r="H156" i="37" s="1"/>
  <c r="H156" i="39"/>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O90" i="3" s="1"/>
  <c r="N88" i="25"/>
  <c r="N89" i="25"/>
  <c r="L87" i="25"/>
  <c r="M88" i="25"/>
  <c r="M89" i="25"/>
  <c r="M88" i="38"/>
  <c r="O88" i="38" s="1"/>
  <c r="M89" i="38"/>
  <c r="L87" i="38"/>
  <c r="N89" i="38"/>
  <c r="I18" i="17"/>
  <c r="M90" i="20" l="1"/>
  <c r="M90" i="23"/>
  <c r="M90" i="35"/>
  <c r="M90" i="31"/>
  <c r="M90" i="29"/>
  <c r="O17" i="2"/>
  <c r="N17" i="2"/>
  <c r="R132" i="2" s="1"/>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N18" i="2"/>
  <c r="O88" i="24"/>
  <c r="N90" i="18"/>
  <c r="O89" i="18"/>
  <c r="N90" i="27"/>
  <c r="O89" i="27"/>
  <c r="N90" i="37"/>
  <c r="O89" i="37"/>
  <c r="M90" i="21"/>
  <c r="O88" i="21"/>
  <c r="O88" i="23"/>
  <c r="N90" i="31"/>
  <c r="O89" i="31"/>
  <c r="O89" i="38"/>
  <c r="O90" i="38" s="1"/>
  <c r="N90" i="38"/>
  <c r="M90" i="18"/>
  <c r="N90" i="29"/>
  <c r="O89" i="29"/>
  <c r="O89" i="13"/>
  <c r="N90" i="13"/>
  <c r="O18" i="2"/>
  <c r="M90" i="24"/>
  <c r="O89" i="34"/>
  <c r="O90" i="34" s="1"/>
  <c r="N90" i="34"/>
  <c r="O89" i="19"/>
  <c r="N90" i="19"/>
  <c r="N90" i="35"/>
  <c r="O89" i="35"/>
  <c r="O89" i="26"/>
  <c r="N90" i="26"/>
  <c r="N90" i="22"/>
  <c r="O89" i="22"/>
  <c r="O89" i="20"/>
  <c r="N90" i="20"/>
  <c r="O89" i="4"/>
  <c r="N90" i="4"/>
  <c r="I30" i="17"/>
  <c r="I25" i="17"/>
  <c r="I24" i="17"/>
  <c r="I23" i="17"/>
  <c r="I20" i="17"/>
  <c r="I35" i="17"/>
  <c r="I31" i="17"/>
  <c r="I34" i="17"/>
  <c r="I22" i="17"/>
  <c r="I26" i="17"/>
  <c r="I21" i="17"/>
  <c r="I29" i="17"/>
  <c r="I19" i="17"/>
  <c r="I32" i="17"/>
  <c r="I28" i="17"/>
  <c r="I33" i="17"/>
  <c r="I36" i="17"/>
  <c r="I27" i="17"/>
  <c r="O90" i="27" l="1"/>
  <c r="V22" i="17"/>
  <c r="O90" i="35"/>
  <c r="O90" i="31"/>
  <c r="O90" i="29"/>
  <c r="O90" i="4"/>
  <c r="N28" i="2"/>
  <c r="N29" i="2" s="1"/>
  <c r="O90" i="19"/>
  <c r="O90" i="22"/>
  <c r="O90" i="28"/>
  <c r="O90" i="25"/>
  <c r="O90" i="37"/>
  <c r="O90" i="20"/>
  <c r="O90" i="26"/>
  <c r="O90" i="18"/>
  <c r="O90" i="13"/>
  <c r="I39" i="17"/>
  <c r="O90" i="23"/>
  <c r="P18" i="2"/>
  <c r="R135" i="2"/>
  <c r="O19" i="2"/>
  <c r="O20" i="2" s="1"/>
  <c r="N19" i="2"/>
  <c r="N20" i="2" s="1"/>
  <c r="R134" i="2"/>
  <c r="O90" i="21"/>
  <c r="P17" i="2"/>
  <c r="R133" i="2"/>
  <c r="O90" i="24"/>
  <c r="P19" i="2" l="1"/>
  <c r="P20" i="2" s="1"/>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L35" i="17" l="1"/>
  <c r="V35" i="17" s="1"/>
  <c r="L18" i="17"/>
  <c r="L21" i="17"/>
  <c r="V21" i="17" s="1"/>
  <c r="L30" i="17" l="1"/>
  <c r="V30" i="17" s="1"/>
  <c r="L36" i="17"/>
  <c r="V36" i="17" s="1"/>
  <c r="L31" i="17"/>
  <c r="V31" i="17" s="1"/>
  <c r="L20" i="17"/>
  <c r="V20" i="17" s="1"/>
  <c r="L26" i="17"/>
  <c r="V26" i="17" s="1"/>
  <c r="L33" i="17"/>
  <c r="V33" i="17" s="1"/>
  <c r="L28" i="17"/>
  <c r="V28" i="17" s="1"/>
  <c r="L19" i="17"/>
  <c r="V19" i="17" s="1"/>
  <c r="L23" i="17"/>
  <c r="V23" i="17" s="1"/>
  <c r="L24" i="17"/>
  <c r="V24" i="17" s="1"/>
  <c r="L27" i="17"/>
  <c r="V27" i="17" s="1"/>
  <c r="L29" i="17"/>
  <c r="V29" i="17" s="1"/>
  <c r="L25" i="17"/>
  <c r="V25" i="17" s="1"/>
  <c r="L32" i="17"/>
  <c r="V32" i="17" s="1"/>
  <c r="L34" i="17"/>
  <c r="V34" i="17" s="1"/>
  <c r="V18" i="17"/>
  <c r="V39" i="17" l="1"/>
  <c r="L39" i="17"/>
  <c r="D28" i="17"/>
  <c r="D35" i="17"/>
  <c r="D21" i="17"/>
  <c r="D20" i="17"/>
  <c r="D25" i="17"/>
  <c r="D24" i="17"/>
  <c r="D26" i="17"/>
  <c r="D27" i="17"/>
  <c r="D23" i="17"/>
  <c r="D30" i="17"/>
  <c r="D18" i="17"/>
  <c r="D29" i="17"/>
  <c r="D32" i="17"/>
  <c r="D22" i="17"/>
  <c r="D19" i="17"/>
  <c r="D31" i="17"/>
  <c r="D34" i="17"/>
  <c r="D33" i="17"/>
  <c r="Q31" i="17" l="1"/>
  <c r="R31" i="17" s="1"/>
  <c r="T31" i="17" s="1"/>
  <c r="Q18" i="17"/>
  <c r="R18" i="17" s="1"/>
  <c r="Q22" i="17"/>
  <c r="R22" i="17" s="1"/>
  <c r="T22" i="17" s="1"/>
  <c r="Q27" i="17"/>
  <c r="R27" i="17" s="1"/>
  <c r="T27" i="17" s="1"/>
  <c r="Q19" i="17"/>
  <c r="R19" i="17" s="1"/>
  <c r="T19" i="17" s="1"/>
  <c r="Q25" i="17"/>
  <c r="R25" i="17" s="1"/>
  <c r="T25" i="17" s="1"/>
  <c r="Q30" i="17"/>
  <c r="R30" i="17" s="1"/>
  <c r="T30" i="17" s="1"/>
  <c r="Q33" i="17"/>
  <c r="R33" i="17" s="1"/>
  <c r="T33" i="17" s="1"/>
  <c r="Q37" i="17"/>
  <c r="R37" i="17" s="1"/>
  <c r="T37" i="17" s="1"/>
  <c r="Q36" i="17"/>
  <c r="R36" i="17" s="1"/>
  <c r="T36" i="17" s="1"/>
  <c r="Q32" i="17"/>
  <c r="R32" i="17" s="1"/>
  <c r="T32" i="17" s="1"/>
  <c r="Q21" i="17"/>
  <c r="R21" i="17" s="1"/>
  <c r="T21" i="17" s="1"/>
  <c r="Q29" i="17"/>
  <c r="R29" i="17" s="1"/>
  <c r="T29" i="17" s="1"/>
  <c r="Q20" i="17"/>
  <c r="R20" i="17" s="1"/>
  <c r="T20" i="17" s="1"/>
  <c r="Q26" i="17"/>
  <c r="R26" i="17" s="1"/>
  <c r="T26" i="17" s="1"/>
  <c r="Q34" i="17"/>
  <c r="R34" i="17" s="1"/>
  <c r="T34" i="17" s="1"/>
  <c r="Q28" i="17"/>
  <c r="R28" i="17" s="1"/>
  <c r="T28" i="17" s="1"/>
  <c r="Q35" i="17"/>
  <c r="R35" i="17" s="1"/>
  <c r="T35" i="17" s="1"/>
  <c r="Q24" i="17"/>
  <c r="R24" i="17" s="1"/>
  <c r="T24" i="17" s="1"/>
  <c r="Q23" i="17"/>
  <c r="R23" i="17" s="1"/>
  <c r="T23" i="17" s="1"/>
  <c r="T18" i="17" l="1"/>
  <c r="T39" i="17" s="1"/>
  <c r="R39" i="17"/>
</calcChain>
</file>

<file path=xl/comments1.xml><?xml version="1.0" encoding="utf-8"?>
<comments xmlns="http://schemas.openxmlformats.org/spreadsheetml/2006/main">
  <authors>
    <author>R.Pennybaker</author>
    <author>AEP</author>
  </authors>
  <commentList>
    <comment ref="C16" authorId="0" shapeId="0">
      <text>
        <r>
          <rPr>
            <b/>
            <sz val="8"/>
            <color indexed="81"/>
            <rFont val="Tahoma"/>
            <family val="2"/>
          </rPr>
          <t>R.Pennybaker:</t>
        </r>
        <r>
          <rPr>
            <sz val="8"/>
            <color indexed="81"/>
            <rFont val="Tahoma"/>
            <family val="2"/>
          </rPr>
          <t xml:space="preserve">
Project Descriptions are in cell [P.xxx]!$D$7]</t>
        </r>
      </text>
    </comment>
    <comment ref="D16" authorId="0" shapeId="0">
      <text>
        <r>
          <rPr>
            <b/>
            <sz val="8"/>
            <color indexed="81"/>
            <rFont val="Tahoma"/>
            <family val="2"/>
          </rPr>
          <t>R.Pennybaker:</t>
        </r>
        <r>
          <rPr>
            <sz val="8"/>
            <color indexed="81"/>
            <rFont val="Tahoma"/>
            <family val="2"/>
          </rPr>
          <t xml:space="preserve">
Year In Service is in cell [P.xxx]!$D$11]</t>
        </r>
      </text>
    </comment>
    <comment ref="E16" authorId="0" shapeId="0">
      <text>
        <r>
          <rPr>
            <b/>
            <sz val="8"/>
            <color indexed="81"/>
            <rFont val="Tahoma"/>
            <family val="2"/>
          </rPr>
          <t>R.Pennybaker:</t>
        </r>
        <r>
          <rPr>
            <sz val="8"/>
            <color indexed="81"/>
            <rFont val="Tahoma"/>
            <family val="2"/>
          </rPr>
          <t xml:space="preserve">
Projected Base ARR is in cell [P.xxx]!$N$5]</t>
        </r>
      </text>
    </comment>
    <comment ref="F16" authorId="0" shapeId="0">
      <text>
        <r>
          <rPr>
            <b/>
            <sz val="8"/>
            <color indexed="81"/>
            <rFont val="Tahoma"/>
            <family val="2"/>
          </rPr>
          <t>R.Pennybaker:</t>
        </r>
        <r>
          <rPr>
            <sz val="8"/>
            <color indexed="81"/>
            <rFont val="Tahoma"/>
            <family val="2"/>
          </rPr>
          <t xml:space="preserve">
Projected Incentive ARR is in WS-F cell N7.</t>
        </r>
      </text>
    </comment>
    <comment ref="I16" authorId="1" shapeId="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text>
        <r>
          <rPr>
            <b/>
            <sz val="8"/>
            <color indexed="81"/>
            <rFont val="Tahoma"/>
            <family val="2"/>
          </rPr>
          <t>R.Pennybaker:</t>
        </r>
        <r>
          <rPr>
            <sz val="8"/>
            <color indexed="81"/>
            <rFont val="Tahoma"/>
            <family val="2"/>
          </rPr>
          <t xml:space="preserve">
This can also be referred to as the Billing Error.</t>
        </r>
      </text>
    </comment>
    <comment ref="N16" authorId="1" shapeId="0">
      <text>
        <r>
          <rPr>
            <b/>
            <sz val="8"/>
            <color indexed="81"/>
            <rFont val="Tahoma"/>
            <family val="2"/>
          </rPr>
          <t>AEP:</t>
        </r>
        <r>
          <rPr>
            <sz val="8"/>
            <color indexed="81"/>
            <rFont val="Tahoma"/>
            <family val="2"/>
          </rPr>
          <t xml:space="preserve">
This is "Prior Year True-Up (WS-G)"; and "Incentive Amounts" O88</t>
        </r>
      </text>
    </comment>
    <comment ref="O16" authorId="1" shapeId="0">
      <text>
        <r>
          <rPr>
            <b/>
            <sz val="8"/>
            <color indexed="81"/>
            <rFont val="Tahoma"/>
            <family val="2"/>
          </rPr>
          <t>AEP:</t>
        </r>
        <r>
          <rPr>
            <sz val="8"/>
            <color indexed="81"/>
            <rFont val="Tahoma"/>
            <family val="2"/>
          </rPr>
          <t xml:space="preserve">
Prior Year Projected (WS-F) and Incentive Amounts [cell O87]</t>
        </r>
      </text>
    </comment>
    <comment ref="C21" authorId="1" shapeId="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39" authorId="0" shapeId="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authors>
    <author>R.Pennybaker</author>
  </authors>
  <commentList>
    <comment ref="L19" authorId="0" shapeId="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authors>
    <author>R.Pennybaker</author>
  </authors>
  <commentList>
    <comment ref="M16" authorId="0" shapeId="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authors>
    <author>AEP</author>
  </authors>
  <commentList>
    <comment ref="D10" authorId="0" shapeId="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<sst xmlns="http://schemas.openxmlformats.org/spreadsheetml/2006/main" count="2726" uniqueCount="296">
  <si>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</si>
  <si>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</si>
  <si>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</si>
  <si>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</si>
  <si>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</si>
  <si>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</si>
  <si>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</si>
  <si>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</si>
  <si>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</si>
  <si>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</si>
  <si>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</si>
  <si>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</si>
  <si>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</si>
  <si>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</si>
  <si>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</si>
  <si>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</si>
  <si>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</si>
  <si>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</si>
  <si>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</si>
  <si>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</si>
  <si>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</si>
  <si>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</si>
  <si>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</si>
  <si>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</si>
  <si>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</si>
  <si>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</si>
  <si>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</si>
  <si>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</si>
  <si>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</si>
  <si>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</si>
  <si>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</si>
  <si>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</si>
  <si>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</si>
  <si>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</si>
  <si>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</si>
  <si>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</si>
  <si>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</si>
  <si>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</si>
  <si>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</si>
  <si>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</si>
  <si>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</si>
  <si>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</si>
  <si>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</si>
  <si>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</si>
  <si>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</si>
  <si>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</si>
  <si>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</si>
  <si>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</si>
  <si>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</si>
  <si>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</si>
  <si>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</si>
  <si>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</si>
  <si>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</si>
  <si>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</si>
  <si>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</si>
  <si>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</si>
  <si>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</si>
  <si>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</si>
  <si>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</si>
  <si>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</si>
  <si>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</si>
  <si>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</si>
  <si>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</si>
  <si>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</si>
  <si>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</si>
  <si>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</si>
  <si>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</si>
  <si>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</si>
  <si>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</si>
  <si>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</si>
  <si>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</si>
  <si>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</si>
  <si>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</si>
  <si>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</si>
  <si>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</si>
  <si>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</si>
  <si>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</si>
  <si>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</si>
  <si>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</si>
  <si>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</si>
  <si>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</si>
  <si>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</si>
  <si>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</si>
  <si>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</si>
  <si>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</si>
  <si>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</si>
  <si>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</si>
  <si>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</si>
  <si>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</si>
  <si>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</si>
  <si>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</si>
  <si>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</si>
  <si>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</si>
  <si>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</si>
  <si>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</si>
  <si>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</si>
  <si>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</si>
  <si>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</si>
  <si>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</si>
  <si>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</si>
  <si>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</si>
  <si>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</si>
  <si>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</si>
  <si>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</si>
  <si>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</si>
  <si>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</si>
  <si>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</si>
  <si>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</si>
  <si>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</si>
  <si>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</si>
  <si>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</si>
  <si>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</si>
  <si>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</si>
  <si>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</si>
  <si>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</si>
  <si>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</si>
  <si>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</si>
  <si>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</si>
  <si>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</si>
  <si>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</si>
  <si>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</si>
  <si>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</si>
  <si>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</si>
  <si>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</si>
  <si>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</si>
  <si>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</si>
  <si>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</si>
  <si>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</si>
  <si>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</si>
  <si>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</si>
  <si>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</si>
  <si>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</si>
  <si>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</si>
  <si>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</si>
  <si>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</si>
  <si>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</si>
  <si>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</si>
  <si>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</si>
  <si>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</si>
  <si>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</si>
  <si>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</si>
  <si>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</si>
  <si>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</si>
  <si>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</si>
  <si>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</si>
  <si>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</si>
  <si>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</si>
  <si>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</si>
  <si>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</si>
  <si>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</si>
  <si>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</si>
  <si>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</si>
  <si>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</si>
  <si>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</si>
  <si>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</si>
  <si>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</si>
  <si>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</si>
  <si>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</si>
  <si>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</si>
  <si>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</si>
  <si>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</si>
  <si>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</si>
  <si>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</si>
  <si>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</si>
  <si>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</si>
  <si>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</si>
  <si>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</si>
  <si>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</si>
  <si>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</si>
  <si>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</si>
  <si>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</si>
  <si>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</si>
  <si>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</si>
  <si>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</si>
  <si>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</si>
  <si>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</si>
  <si>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</si>
  <si>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</si>
  <si>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</si>
  <si>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</si>
  <si>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</si>
  <si>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</si>
  <si>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</si>
  <si>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</si>
  <si>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</si>
  <si>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</si>
  <si>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</si>
  <si>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</si>
  <si>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</si>
  <si>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</si>
  <si>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</si>
  <si>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</si>
  <si>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</si>
  <si>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</si>
  <si>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</si>
  <si>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</si>
  <si>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</si>
  <si>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</si>
  <si>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</si>
  <si>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</si>
  <si>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</si>
  <si>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</si>
  <si>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</si>
  <si>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</si>
  <si>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</si>
  <si>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</si>
  <si>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</si>
  <si>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</si>
  <si>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</si>
  <si>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</si>
  <si>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</si>
  <si>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</si>
  <si>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</si>
  <si>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</si>
  <si>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</si>
  <si>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</si>
  <si>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</si>
  <si>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</si>
  <si>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</si>
  <si>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</si>
  <si>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</si>
  <si>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</si>
  <si>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</si>
  <si>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</si>
  <si>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</si>
  <si>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</si>
  <si>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</si>
  <si>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</si>
  <si>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</si>
  <si>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</si>
  <si>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</si>
  <si>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</si>
  <si>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</si>
  <si>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</si>
  <si>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</si>
  <si>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</si>
  <si>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</si>
  <si>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</si>
  <si>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</si>
  <si>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</si>
  <si>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</si>
  <si>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</si>
  <si>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</si>
  <si>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</si>
  <si>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</si>
  <si>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</si>
  <si>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</si>
  <si>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</si>
  <si>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</si>
  <si>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</si>
  <si>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</si>
  <si>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</si>
  <si>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</si>
  <si>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</si>
  <si>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</si>
  <si>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</si>
  <si>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</si>
  <si>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</si>
  <si>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</si>
  <si>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</si>
  <si>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</si>
  <si>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</si>
  <si>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</si>
  <si>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</si>
  <si>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</si>
  <si>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</si>
  <si>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</si>
  <si>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</si>
  <si>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</si>
  <si>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</si>
  <si>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</si>
  <si>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</si>
  <si>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</si>
  <si>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</si>
  <si>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</si>
  <si>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</si>
  <si>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</si>
  <si>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</si>
  <si>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</si>
  <si>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</si>
  <si>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</si>
  <si>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</si>
  <si>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</si>
  <si>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</si>
  <si>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</si>
  <si>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 xml:space="preserve">Transmission Plant Average Balance </t>
  </si>
  <si>
    <t>Transmission Plant Average Balance for 2018</t>
  </si>
  <si>
    <t>Projected Year</t>
  </si>
  <si>
    <t xml:space="preserve">   Tax Effect of Permanent and Flow Through Differences  (TCOS, ln 110)</t>
  </si>
  <si>
    <t>OKT.019</t>
  </si>
  <si>
    <t xml:space="preserve"> </t>
  </si>
  <si>
    <t>Keystone Dam - Wekiwa 138 kV</t>
  </si>
  <si>
    <t>TP2015118</t>
  </si>
  <si>
    <t>OKT.020</t>
  </si>
  <si>
    <t xml:space="preserve">   Excess DFIT Adjustment  (TCOS, ln 110)</t>
  </si>
  <si>
    <t xml:space="preserve">   Tax Effect of Permanent and Flow Through Differences (TCOS, ln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</si>
</sst>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670">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101" fillId="0" borderId="0" xfId="86" applyNumberFormat="1" applyFont="1"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169" fontId="54" fillId="26" borderId="2" xfId="86" applyNumberFormat="1" applyFont="1" applyFill="1" applyBorder="1" applyAlignment="1" applyProtection="1">
      <alignment vertical="center"/>
    </xf>
    <xf numFmtId="0" fontId="0" fillId="0" borderId="0" xfId="0" applyAlignment="1" applyProtection="1">
      <alignment wrapText="1"/>
    </xf>
    <xf numFmtId="0" fontId="7" fillId="0" borderId="0" xfId="0" applyFont="1" applyFill="1" applyBorder="1" applyAlignment="1" applyProtection="1">
      <alignment wrapText="1"/>
    </xf>
    <xf numFmtId="169" fontId="1" fillId="0" borderId="25" xfId="86" applyNumberFormat="1" applyFont="1" applyBorder="1" applyProtection="1"/>
    <xf numFmtId="169" fontId="1" fillId="26" borderId="25" xfId="0" applyNumberFormat="1" applyFont="1" applyFill="1" applyBorder="1" applyProtection="1"/>
    <xf numFmtId="169" fontId="1" fillId="26" borderId="25" xfId="86" applyNumberFormat="1" applyFont="1" applyFill="1" applyBorder="1" applyProtection="1"/>
    <xf numFmtId="169" fontId="1" fillId="26" borderId="14" xfId="86" applyNumberFormat="1" applyFont="1" applyFill="1" applyBorder="1" applyProtection="1"/>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0" xfId="263"/>
    <cellStyle name="Comma 2" xfId="87"/>
    <cellStyle name="Comma 2 2" xfId="88"/>
    <cellStyle name="Comma 3" xfId="89"/>
    <cellStyle name="Comma 3 2" xfId="90"/>
    <cellStyle name="Comma 3 3" xfId="91"/>
    <cellStyle name="Comma 3 3 2" xfId="92"/>
    <cellStyle name="Comma 3 4" xfId="93"/>
    <cellStyle name="Comma 3 5" xfId="94"/>
    <cellStyle name="Comma 4" xfId="95"/>
    <cellStyle name="Comma 4 2" xfId="96"/>
    <cellStyle name="Comma 4 3" xfId="97"/>
    <cellStyle name="Comma 5" xfId="98"/>
    <cellStyle name="Comma 5 2" xfId="99"/>
    <cellStyle name="Comma 6" xfId="100"/>
    <cellStyle name="Comma 7" xfId="101"/>
    <cellStyle name="Comma0" xfId="102"/>
    <cellStyle name="Comma0 2" xfId="103"/>
    <cellStyle name="Comma0 2 2" xfId="104"/>
    <cellStyle name="Comma0 3" xfId="105"/>
    <cellStyle name="Currency" xfId="106" builtinId="4"/>
    <cellStyle name="Currency 2" xfId="107"/>
    <cellStyle name="Currency 2 2" xfId="108"/>
    <cellStyle name="Currency 2 2 2" xfId="109"/>
    <cellStyle name="Currency 3" xfId="110"/>
    <cellStyle name="Currency 3 2" xfId="111"/>
    <cellStyle name="Currency 3 3" xfId="112"/>
    <cellStyle name="Currency 3 3 2" xfId="113"/>
    <cellStyle name="Currency 3 4" xfId="114"/>
    <cellStyle name="Currency 3 5" xfId="115"/>
    <cellStyle name="Currency 4" xfId="116"/>
    <cellStyle name="Currency 4 2" xfId="117"/>
    <cellStyle name="Currency 4 2 2" xfId="118"/>
    <cellStyle name="Currency 5" xfId="119"/>
    <cellStyle name="Currency 5 2" xfId="120"/>
    <cellStyle name="Currency 6" xfId="121"/>
    <cellStyle name="Currency 6 2" xfId="122"/>
    <cellStyle name="Currency 6 3" xfId="123"/>
    <cellStyle name="Currency 6 4" xfId="124"/>
    <cellStyle name="Currency0" xfId="125"/>
    <cellStyle name="Currency0 2" xfId="126"/>
    <cellStyle name="Currency0 2 2" xfId="127"/>
    <cellStyle name="Currency0 3" xfId="128"/>
    <cellStyle name="Date" xfId="129"/>
    <cellStyle name="Date 2" xfId="130"/>
    <cellStyle name="Date 2 2" xfId="131"/>
    <cellStyle name="Date 3" xfId="132"/>
    <cellStyle name="Explanatory Text" xfId="133" builtinId="53" customBuiltin="1"/>
    <cellStyle name="Explanatory Text 2" xfId="134"/>
    <cellStyle name="Fixed" xfId="135"/>
    <cellStyle name="Fixed 2" xfId="136"/>
    <cellStyle name="Fixed 2 2" xfId="137"/>
    <cellStyle name="Fixed 3" xfId="138"/>
    <cellStyle name="Good" xfId="139" builtinId="26" customBuiltin="1"/>
    <cellStyle name="Good 2" xfId="140"/>
    <cellStyle name="Heading 1" xfId="141" builtinId="16" customBuiltin="1"/>
    <cellStyle name="Heading 1 2" xfId="142"/>
    <cellStyle name="Heading 1 3" xfId="143"/>
    <cellStyle name="Heading 1 3 2" xfId="144"/>
    <cellStyle name="Heading 2" xfId="145" builtinId="17" customBuiltin="1"/>
    <cellStyle name="Heading 2 2" xfId="146"/>
    <cellStyle name="Heading 2 3" xfId="147"/>
    <cellStyle name="Heading 2 3 2" xfId="148"/>
    <cellStyle name="Heading 3" xfId="149" builtinId="18" customBuiltin="1"/>
    <cellStyle name="Heading 3 2" xfId="150"/>
    <cellStyle name="Heading 4" xfId="151" builtinId="19" customBuiltin="1"/>
    <cellStyle name="Heading 4 2" xfId="152"/>
    <cellStyle name="Heading1" xfId="153"/>
    <cellStyle name="Heading2" xfId="154"/>
    <cellStyle name="Input" xfId="155" builtinId="20" customBuiltin="1"/>
    <cellStyle name="Input 2" xfId="156"/>
    <cellStyle name="Linked Cell" xfId="157" builtinId="24" customBuiltin="1"/>
    <cellStyle name="Linked Cell 2" xfId="158"/>
    <cellStyle name="M" xfId="159"/>
    <cellStyle name="M 2" xfId="160"/>
    <cellStyle name="M 2 2" xfId="161"/>
    <cellStyle name="M 2 2 2" xfId="162"/>
    <cellStyle name="M 3" xfId="163"/>
    <cellStyle name="M 3 2" xfId="164"/>
    <cellStyle name="M 3 2 2" xfId="165"/>
    <cellStyle name="M 4" xfId="166"/>
    <cellStyle name="M 5" xfId="167"/>
    <cellStyle name="M 5 2" xfId="168"/>
    <cellStyle name="M 6" xfId="169"/>
    <cellStyle name="M 6 2" xfId="170"/>
    <cellStyle name="M 7" xfId="171"/>
    <cellStyle name="Neutral" xfId="172" builtinId="28" customBuiltin="1"/>
    <cellStyle name="Neutral 2" xfId="173"/>
    <cellStyle name="Normal" xfId="0" builtinId="0"/>
    <cellStyle name="Normal 12" xfId="174"/>
    <cellStyle name="Normal 2" xfId="175"/>
    <cellStyle name="Normal 2 2" xfId="176"/>
    <cellStyle name="Normal 3" xfId="177"/>
    <cellStyle name="Normal 3 2" xfId="178"/>
    <cellStyle name="Normal 3 3" xfId="179"/>
    <cellStyle name="Normal 3_OPCo Period I PJM  Formula Rate" xfId="180"/>
    <cellStyle name="Normal 4" xfId="181"/>
    <cellStyle name="Normal 4 2" xfId="182"/>
    <cellStyle name="Normal 4 3" xfId="183"/>
    <cellStyle name="Normal 4 3 2" xfId="184"/>
    <cellStyle name="Normal 4 4" xfId="185"/>
    <cellStyle name="Normal 4 5" xfId="186"/>
    <cellStyle name="Normal 4 5 2" xfId="187"/>
    <cellStyle name="Normal 4 5 3" xfId="188"/>
    <cellStyle name="Normal 4_PBOP Exhibit 1" xfId="189"/>
    <cellStyle name="Normal 5" xfId="190"/>
    <cellStyle name="Normal_FN1 Ratebase Draft SPP template (6-11-04) v2" xfId="191"/>
    <cellStyle name="Note" xfId="192" builtinId="10" customBuiltin="1"/>
    <cellStyle name="Note 2" xfId="193"/>
    <cellStyle name="Output" xfId="194" builtinId="21" customBuiltin="1"/>
    <cellStyle name="Output 2" xfId="195"/>
    <cellStyle name="Percent" xfId="196" builtinId="5"/>
    <cellStyle name="Percent 2" xfId="197"/>
    <cellStyle name="Percent 2 2" xfId="198"/>
    <cellStyle name="Percent 2 2 2" xfId="199"/>
    <cellStyle name="Percent 3" xfId="200"/>
    <cellStyle name="Percent 3 2" xfId="201"/>
    <cellStyle name="Percent 3 3" xfId="202"/>
    <cellStyle name="Percent 3 3 2" xfId="203"/>
    <cellStyle name="Percent 3 4" xfId="204"/>
    <cellStyle name="Percent 3 5" xfId="205"/>
    <cellStyle name="Percent 4" xfId="206"/>
    <cellStyle name="Percent 4 2" xfId="207"/>
    <cellStyle name="Percent 4 3" xfId="208"/>
    <cellStyle name="Percent 5" xfId="209"/>
    <cellStyle name="Percent 5 2" xfId="210"/>
    <cellStyle name="Percent 5 3" xfId="211"/>
    <cellStyle name="Percent 6" xfId="212"/>
    <cellStyle name="Percent 7" xfId="213"/>
    <cellStyle name="PSChar" xfId="214"/>
    <cellStyle name="PSChar 2" xfId="215"/>
    <cellStyle name="PSChar 2 2" xfId="216"/>
    <cellStyle name="PSDate" xfId="217"/>
    <cellStyle name="PSDec" xfId="218"/>
    <cellStyle name="PSdesc" xfId="219"/>
    <cellStyle name="PSHeading" xfId="220"/>
    <cellStyle name="PSInt" xfId="221"/>
    <cellStyle name="PSSpacer" xfId="222"/>
    <cellStyle name="PStest" xfId="223"/>
    <cellStyle name="R00A" xfId="224"/>
    <cellStyle name="R00B" xfId="225"/>
    <cellStyle name="R00L" xfId="226"/>
    <cellStyle name="R01A" xfId="227"/>
    <cellStyle name="R01B" xfId="228"/>
    <cellStyle name="R01H" xfId="229"/>
    <cellStyle name="R01L" xfId="230"/>
    <cellStyle name="R02A" xfId="231"/>
    <cellStyle name="R02B" xfId="232"/>
    <cellStyle name="R02H" xfId="233"/>
    <cellStyle name="R02L" xfId="234"/>
    <cellStyle name="R03A" xfId="235"/>
    <cellStyle name="R03B" xfId="236"/>
    <cellStyle name="R03H" xfId="237"/>
    <cellStyle name="R03L" xfId="238"/>
    <cellStyle name="R04A" xfId="239"/>
    <cellStyle name="R04B" xfId="240"/>
    <cellStyle name="R04H" xfId="241"/>
    <cellStyle name="R04L" xfId="242"/>
    <cellStyle name="R05A" xfId="243"/>
    <cellStyle name="R05B" xfId="244"/>
    <cellStyle name="R05H" xfId="245"/>
    <cellStyle name="R05L" xfId="246"/>
    <cellStyle name="R06A" xfId="247"/>
    <cellStyle name="R06B" xfId="248"/>
    <cellStyle name="R06H" xfId="249"/>
    <cellStyle name="R06L" xfId="250"/>
    <cellStyle name="R07A" xfId="251"/>
    <cellStyle name="R07B" xfId="252"/>
    <cellStyle name="R07H" xfId="253"/>
    <cellStyle name="R07L" xfId="254"/>
    <cellStyle name="Title" xfId="255" builtinId="15" customBuiltin="1"/>
    <cellStyle name="Title 2" xfId="256"/>
    <cellStyle name="Total" xfId="257" builtinId="25" customBuiltin="1"/>
    <cellStyle name="Total 2" xfId="258"/>
    <cellStyle name="Total 3" xfId="259"/>
    <cellStyle name="Total 3 2" xfId="260"/>
    <cellStyle name="Warning Text" xfId="261" builtinId="11" customBuiltin="1"/>
    <cellStyle name="Warning Text 2" xfId="262"/>
  </cellStyles>
  <dxfs count="52">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293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396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5996"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523875</xdr:colOff>
      <xdr:row>0</xdr:row>
      <xdr:rowOff>219075</xdr:rowOff>
    </xdr:to>
    <xdr:sp macro="" textlink="">
      <xdr:nvSpPr>
        <xdr:cNvPr id="2597" name="Text Box 1"/>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0</xdr:rowOff>
    </xdr:to>
    <xdr:sp macro="" textlink="">
      <xdr:nvSpPr>
        <xdr:cNvPr id="35909" name="Text Box 1"/>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12700</xdr:rowOff>
    </xdr:to>
    <xdr:sp macro="" textlink="">
      <xdr:nvSpPr>
        <xdr:cNvPr id="2" name="Text Box 1"/>
        <xdr:cNvSpPr txBox="1">
          <a:spLocks noChangeArrowheads="1"/>
        </xdr:cNvSpPr>
      </xdr:nvSpPr>
      <xdr:spPr bwMode="auto">
        <a:xfrm>
          <a:off x="4073525" y="0"/>
          <a:ext cx="114300" cy="330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3568"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5856"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6881"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8929" name="Text Box 1"/>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9898"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0920" name="Text Box 1"/>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dbw/SWPP%20Form%20Rate/Lila%20added/AEP%20SPP%20For%20Rate%20Proj%20w%2013%20mth%20rate%20base%20june-07%20-%20June-08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75"/>
  <sheetViews>
    <sheetView tabSelected="1" zoomScale="70" zoomScaleNormal="70" zoomScaleSheetLayoutView="80" workbookViewId="0">
      <selection activeCell="A5" sqref="A5"/>
    </sheetView>
  </sheetViews>
  <sheetFormatPr defaultColWidth="8.7265625" defaultRowHeight="12.75" customHeight="1"/>
  <cols>
    <col min="1" max="1" width="9.81640625" style="145" customWidth="1"/>
    <col min="2" max="2" width="7" style="145" bestFit="1" customWidth="1"/>
    <col min="3" max="3" width="43.1796875" style="145" customWidth="1"/>
    <col min="4" max="4" width="9" style="145" customWidth="1"/>
    <col min="5" max="5" width="15.7265625" style="145" customWidth="1"/>
    <col min="6" max="6" width="13.81640625" style="145" customWidth="1"/>
    <col min="7" max="7" width="14.26953125" style="145" customWidth="1"/>
    <col min="8" max="8" width="2.81640625" style="145" customWidth="1"/>
    <col min="9" max="9" width="13.7265625" style="145" customWidth="1"/>
    <col min="10" max="10" width="13.26953125" style="145" customWidth="1"/>
    <col min="11" max="11" width="13.81640625" style="145" bestFit="1" customWidth="1"/>
    <col min="12" max="12" width="16.453125" style="145" customWidth="1"/>
    <col min="13" max="13" width="2.453125" style="145" customWidth="1"/>
    <col min="14" max="14" width="6.1796875" style="145" customWidth="1"/>
    <col min="15" max="15" width="7.7265625" style="145" customWidth="1"/>
    <col min="16" max="16" width="10.7265625" style="145" customWidth="1"/>
    <col min="17" max="17" width="11.1796875" style="145" bestFit="1" customWidth="1"/>
    <col min="18" max="18" width="18.7265625" style="145" customWidth="1"/>
    <col min="19" max="19" width="2.453125" style="145" customWidth="1"/>
    <col min="20" max="20" width="14.26953125" style="145" customWidth="1"/>
    <col min="21" max="21" width="8.7265625" style="145"/>
    <col min="22" max="22" width="18" style="145" customWidth="1"/>
    <col min="23" max="16384" width="8.7265625" style="145"/>
  </cols>
  <sheetData>
    <row r="1" spans="1:23" ht="15.5">
      <c r="H1" s="146" t="s">
        <v>136</v>
      </c>
      <c r="U1" s="145">
        <v>2021</v>
      </c>
    </row>
    <row r="2" spans="1:23" ht="15.5">
      <c r="H2" s="147" t="s">
        <v>159</v>
      </c>
    </row>
    <row r="3" spans="1:23" ht="15.5">
      <c r="H3" s="148" t="str">
        <f>"For Calendar Year "&amp;U1-1&amp;" and Projected Year "&amp;U1</f>
        <v>For Calendar Year 2020 and Projected Year 2021</v>
      </c>
    </row>
    <row r="4" spans="1:23" ht="15.5">
      <c r="H4" s="149"/>
    </row>
    <row r="5" spans="1:23" ht="15.5">
      <c r="H5" s="150" t="s">
        <v>137</v>
      </c>
    </row>
    <row r="7" spans="1:23" ht="18">
      <c r="C7" s="151"/>
      <c r="E7" s="151"/>
      <c r="F7" s="151"/>
      <c r="G7" s="151"/>
      <c r="H7" s="151" t="s">
        <v>188</v>
      </c>
      <c r="I7" s="151"/>
      <c r="J7" s="151"/>
      <c r="K7" s="151"/>
      <c r="L7" s="151"/>
    </row>
    <row r="8" spans="1:23" ht="12.5">
      <c r="D8" s="152"/>
    </row>
    <row r="9" spans="1:23" ht="12.5">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650" t="str">
        <f>"Projected ARR For "&amp;U1&amp;" From WS-F"</f>
        <v>Projected ARR For 2021 From WS-F</v>
      </c>
      <c r="F13" s="650"/>
      <c r="G13" s="650"/>
      <c r="H13" s="157"/>
      <c r="I13" s="158" t="str">
        <f>"True-Up ARR CY"&amp;U1-1&amp;" From Worksheet G  (includes adjustment for SPP Collections)"</f>
        <v>True-Up ARR CY2020 From Worksheet G  (includes adjustment for SPP Collections)</v>
      </c>
      <c r="J13" s="158"/>
      <c r="K13" s="158"/>
      <c r="L13" s="158"/>
      <c r="M13" s="158"/>
      <c r="N13" s="158"/>
      <c r="O13" s="158"/>
      <c r="P13" s="158"/>
      <c r="Q13" s="158"/>
      <c r="R13" s="159"/>
      <c r="S13" s="157"/>
      <c r="T13" s="157"/>
      <c r="U13" s="157"/>
    </row>
    <row r="14" spans="1:23" ht="18" customHeight="1">
      <c r="G14" s="160"/>
      <c r="T14" s="651" t="str">
        <f>"Total ADJUSTED Revenue Requirement Effective
1/1/"&amp;U1&amp;""</f>
        <v>Total ADJUSTED Revenue Requirement Effective
1/1/2021</v>
      </c>
    </row>
    <row r="15" spans="1:23" ht="18" customHeight="1" thickBot="1">
      <c r="D15" s="157"/>
      <c r="E15" s="161"/>
      <c r="F15" s="161"/>
      <c r="G15" s="161"/>
      <c r="I15" s="158" t="s">
        <v>147</v>
      </c>
      <c r="J15" s="162"/>
      <c r="K15" s="162"/>
      <c r="L15" s="162"/>
      <c r="M15" s="163"/>
      <c r="N15" s="158" t="s">
        <v>166</v>
      </c>
      <c r="O15" s="164"/>
      <c r="P15" s="164"/>
      <c r="Q15" s="165"/>
      <c r="T15" s="651"/>
    </row>
    <row r="16" spans="1:23" ht="72.75" customHeight="1">
      <c r="A16" s="166" t="s">
        <v>156</v>
      </c>
      <c r="B16" s="167" t="s">
        <v>148</v>
      </c>
      <c r="C16" s="167" t="s">
        <v>116</v>
      </c>
      <c r="D16" s="168" t="s">
        <v>149</v>
      </c>
      <c r="E16" s="169" t="s">
        <v>164</v>
      </c>
      <c r="F16" s="170" t="s">
        <v>150</v>
      </c>
      <c r="G16" s="170" t="s">
        <v>151</v>
      </c>
      <c r="I16" s="171" t="s">
        <v>163</v>
      </c>
      <c r="J16" s="172" t="s">
        <v>268</v>
      </c>
      <c r="K16" s="171" t="s">
        <v>179</v>
      </c>
      <c r="L16" s="171" t="s">
        <v>165</v>
      </c>
      <c r="M16" s="171"/>
      <c r="N16" s="172" t="s">
        <v>152</v>
      </c>
      <c r="O16" s="172" t="s">
        <v>153</v>
      </c>
      <c r="P16" s="173" t="s">
        <v>154</v>
      </c>
      <c r="Q16" s="173" t="s">
        <v>155</v>
      </c>
      <c r="R16" s="169" t="s">
        <v>181</v>
      </c>
      <c r="T16" s="651"/>
      <c r="V16" s="174" t="s">
        <v>170</v>
      </c>
    </row>
    <row r="17" spans="1:23" ht="13">
      <c r="B17" s="157"/>
      <c r="C17" s="157"/>
      <c r="E17" s="175"/>
      <c r="F17" s="175"/>
      <c r="G17" s="175"/>
      <c r="I17" s="175"/>
      <c r="J17" s="175"/>
      <c r="K17" s="175"/>
      <c r="L17" s="175"/>
      <c r="M17" s="175"/>
      <c r="N17" s="175"/>
      <c r="O17" s="175"/>
      <c r="P17" s="175"/>
      <c r="Q17" s="175"/>
      <c r="R17" s="175"/>
      <c r="T17" s="175"/>
      <c r="V17" s="176"/>
    </row>
    <row r="18" spans="1:23" ht="13">
      <c r="A18" s="155" t="s">
        <v>194</v>
      </c>
      <c r="B18" s="153" t="s">
        <v>182</v>
      </c>
      <c r="C18" s="177" t="str">
        <f t="shared" ref="C18:F37" ca="1" si="0">INDIRECT("'"&amp; $A18 &amp; "'!" &amp;C$46)</f>
        <v>Snyder 138 kV Terminal Addition</v>
      </c>
      <c r="D18" s="178">
        <f t="shared" ca="1" si="0"/>
        <v>2010</v>
      </c>
      <c r="E18" s="179">
        <v>0</v>
      </c>
      <c r="F18" s="180">
        <f t="shared" ca="1" si="0"/>
        <v>0</v>
      </c>
      <c r="G18" s="180">
        <f t="shared" ref="G18:G23" ca="1" si="1">+E18+F18</f>
        <v>0</v>
      </c>
      <c r="H18" s="181"/>
      <c r="I18" s="182">
        <f t="shared" ref="I18:I37" ca="1" si="2">INDIRECT("'"&amp; $A18 &amp; "'!" &amp;I$46)</f>
        <v>4038.1526281786937</v>
      </c>
      <c r="J18" s="183">
        <v>75845.752358652899</v>
      </c>
      <c r="K18" s="183">
        <f>J18/(J$39)*K$39</f>
        <v>82862.286128075822</v>
      </c>
      <c r="L18" s="179">
        <f t="shared" ref="L18:L23" si="3">+J18-K18</f>
        <v>-7016.5337694229238</v>
      </c>
      <c r="M18" s="179"/>
      <c r="N18" s="180">
        <v>0</v>
      </c>
      <c r="O18" s="180">
        <v>0</v>
      </c>
      <c r="P18" s="180"/>
      <c r="Q18" s="183">
        <f ca="1">+V18/$V$39 * $Q$39</f>
        <v>-205.69914878017639</v>
      </c>
      <c r="R18" s="184">
        <f ca="1">I18+L18+P18+Q18</f>
        <v>-3184.0802900244066</v>
      </c>
      <c r="S18" s="184"/>
      <c r="T18" s="185">
        <f t="shared" ref="T18:T23" ca="1" si="4">+G18+R18</f>
        <v>-3184.0802900244066</v>
      </c>
      <c r="V18" s="186">
        <f t="shared" ref="V18:V23" ca="1" si="5">+I18+L18+P18</f>
        <v>-2978.3811412442301</v>
      </c>
      <c r="W18" s="145" t="str">
        <f t="shared" ref="W18:W23" si="6">A18</f>
        <v>OKT.001</v>
      </c>
    </row>
    <row r="19" spans="1:23" ht="13">
      <c r="A19" s="155" t="s">
        <v>195</v>
      </c>
      <c r="B19" s="153" t="s">
        <v>182</v>
      </c>
      <c r="C19" s="177" t="str">
        <f t="shared" ca="1" si="0"/>
        <v>Coffeyville T to Dearing 138 kV Rebuild - 1.1 miles</v>
      </c>
      <c r="D19" s="178">
        <f t="shared" ca="1" si="0"/>
        <v>2010</v>
      </c>
      <c r="E19" s="179">
        <v>0</v>
      </c>
      <c r="F19" s="180">
        <f t="shared" ca="1" si="0"/>
        <v>0</v>
      </c>
      <c r="G19" s="180">
        <f t="shared" ca="1" si="1"/>
        <v>0</v>
      </c>
      <c r="H19" s="181"/>
      <c r="I19" s="182">
        <f t="shared" ca="1" si="2"/>
        <v>5719.0470040592772</v>
      </c>
      <c r="J19" s="183">
        <v>102508.45444876386</v>
      </c>
      <c r="K19" s="183">
        <f>J19/(J$39)*K$39</f>
        <v>111991.56998158839</v>
      </c>
      <c r="L19" s="179">
        <f t="shared" si="3"/>
        <v>-9483.1155328245222</v>
      </c>
      <c r="M19" s="179"/>
      <c r="N19" s="180">
        <v>0</v>
      </c>
      <c r="O19" s="180">
        <v>0</v>
      </c>
      <c r="P19" s="180"/>
      <c r="Q19" s="183">
        <f t="shared" ref="Q19:Q35" ca="1" si="7">+V19/$V$39 * $Q$39</f>
        <v>-259.96192414574898</v>
      </c>
      <c r="R19" s="184">
        <f t="shared" ref="R19:R23" ca="1" si="8">I19+L19+P19+Q19</f>
        <v>-4024.030452910994</v>
      </c>
      <c r="S19" s="184"/>
      <c r="T19" s="187">
        <f t="shared" ca="1" si="4"/>
        <v>-4024.030452910994</v>
      </c>
      <c r="V19" s="186">
        <f t="shared" ca="1" si="5"/>
        <v>-3764.068528765245</v>
      </c>
      <c r="W19" s="145" t="str">
        <f t="shared" si="6"/>
        <v>OKT.002</v>
      </c>
    </row>
    <row r="20" spans="1:23" ht="13">
      <c r="A20" s="155" t="s">
        <v>202</v>
      </c>
      <c r="B20" s="153" t="s">
        <v>182</v>
      </c>
      <c r="C20" s="177" t="str">
        <f t="shared" ca="1" si="0"/>
        <v>Tulsa Power Station Reactor</v>
      </c>
      <c r="D20" s="178">
        <f t="shared" ca="1" si="0"/>
        <v>2011</v>
      </c>
      <c r="E20" s="179">
        <v>0</v>
      </c>
      <c r="F20" s="180">
        <f t="shared" ca="1" si="0"/>
        <v>0</v>
      </c>
      <c r="G20" s="180">
        <f t="shared" ca="1" si="1"/>
        <v>0</v>
      </c>
      <c r="H20" s="181"/>
      <c r="I20" s="182">
        <f t="shared" ca="1" si="2"/>
        <v>3535.1593144298095</v>
      </c>
      <c r="J20" s="183">
        <v>65232.476873519343</v>
      </c>
      <c r="K20" s="183">
        <f>J20/(J$39)*K$39</f>
        <v>71267.170480114321</v>
      </c>
      <c r="L20" s="179">
        <f t="shared" si="3"/>
        <v>-6034.6936065949776</v>
      </c>
      <c r="M20" s="179"/>
      <c r="N20" s="180">
        <v>0</v>
      </c>
      <c r="O20" s="180">
        <v>0</v>
      </c>
      <c r="P20" s="180"/>
      <c r="Q20" s="183">
        <f t="shared" ca="1" si="7"/>
        <v>-172.6280324318891</v>
      </c>
      <c r="R20" s="184">
        <f t="shared" ca="1" si="8"/>
        <v>-2672.1623245970572</v>
      </c>
      <c r="S20" s="184"/>
      <c r="T20" s="187">
        <f t="shared" ca="1" si="4"/>
        <v>-2672.1623245970572</v>
      </c>
      <c r="V20" s="186">
        <f t="shared" ca="1" si="5"/>
        <v>-2499.5342921651682</v>
      </c>
      <c r="W20" s="145" t="str">
        <f t="shared" si="6"/>
        <v>OKT.003</v>
      </c>
    </row>
    <row r="21" spans="1:23" ht="13">
      <c r="A21" s="155" t="s">
        <v>203</v>
      </c>
      <c r="B21" s="153" t="s">
        <v>182</v>
      </c>
      <c r="C21" s="177" t="str">
        <f t="shared" ca="1" si="0"/>
        <v xml:space="preserve">Bartlesville SE to Coffeyville T Rebuild </v>
      </c>
      <c r="D21" s="178">
        <f t="shared" ca="1" si="0"/>
        <v>2011</v>
      </c>
      <c r="E21" s="179">
        <v>0</v>
      </c>
      <c r="F21" s="180">
        <f t="shared" ca="1" si="0"/>
        <v>0</v>
      </c>
      <c r="G21" s="180">
        <f t="shared" ca="1" si="1"/>
        <v>0</v>
      </c>
      <c r="H21" s="181"/>
      <c r="I21" s="182">
        <f t="shared" ca="1" si="2"/>
        <v>56711.762982489076</v>
      </c>
      <c r="J21" s="183">
        <v>1160413.5948725585</v>
      </c>
      <c r="K21" s="183">
        <f>J21/(J$39)*K$39</f>
        <v>1267764.1177656427</v>
      </c>
      <c r="L21" s="179">
        <f t="shared" si="3"/>
        <v>-107350.52289308421</v>
      </c>
      <c r="M21" s="179"/>
      <c r="N21" s="180">
        <v>0</v>
      </c>
      <c r="O21" s="180">
        <v>0</v>
      </c>
      <c r="P21" s="180"/>
      <c r="Q21" s="183">
        <f t="shared" ca="1" si="7"/>
        <v>-3497.3192868598649</v>
      </c>
      <c r="R21" s="184">
        <f t="shared" ca="1" si="8"/>
        <v>-54136.079197455001</v>
      </c>
      <c r="S21" s="184"/>
      <c r="T21" s="187">
        <f t="shared" ca="1" si="4"/>
        <v>-54136.079197455001</v>
      </c>
      <c r="V21" s="186">
        <f t="shared" ca="1" si="5"/>
        <v>-50638.759910595138</v>
      </c>
      <c r="W21" s="145" t="str">
        <f t="shared" si="6"/>
        <v>OKT.004</v>
      </c>
    </row>
    <row r="22" spans="1:23" ht="13">
      <c r="A22" s="155" t="s">
        <v>207</v>
      </c>
      <c r="B22" s="153" t="s">
        <v>182</v>
      </c>
      <c r="C22" s="177" t="str">
        <f t="shared" ca="1" si="0"/>
        <v>Install 345kV terminal at Valliant***</v>
      </c>
      <c r="D22" s="178">
        <f t="shared" ca="1" si="0"/>
        <v>2012</v>
      </c>
      <c r="E22" s="179">
        <v>0</v>
      </c>
      <c r="F22" s="180">
        <f t="shared" ca="1" si="0"/>
        <v>0</v>
      </c>
      <c r="G22" s="180">
        <f t="shared" ca="1" si="1"/>
        <v>0</v>
      </c>
      <c r="H22" s="181"/>
      <c r="I22" s="182">
        <f t="shared" ca="1" si="2"/>
        <v>0</v>
      </c>
      <c r="J22" s="183">
        <v>0</v>
      </c>
      <c r="K22" s="183">
        <v>0</v>
      </c>
      <c r="L22" s="179">
        <f t="shared" si="3"/>
        <v>0</v>
      </c>
      <c r="M22" s="179"/>
      <c r="N22" s="180">
        <v>0</v>
      </c>
      <c r="O22" s="180">
        <v>0</v>
      </c>
      <c r="P22" s="180"/>
      <c r="Q22" s="183">
        <f t="shared" ca="1" si="7"/>
        <v>0</v>
      </c>
      <c r="R22" s="184">
        <f t="shared" ca="1" si="8"/>
        <v>0</v>
      </c>
      <c r="S22" s="184"/>
      <c r="T22" s="187">
        <f t="shared" ca="1" si="4"/>
        <v>0</v>
      </c>
      <c r="V22" s="186">
        <f t="shared" ca="1" si="5"/>
        <v>0</v>
      </c>
      <c r="W22" s="145" t="str">
        <f t="shared" si="6"/>
        <v>OKT.005</v>
      </c>
    </row>
    <row r="23" spans="1:23" ht="25">
      <c r="A23" s="155" t="s">
        <v>208</v>
      </c>
      <c r="B23" s="153" t="s">
        <v>182</v>
      </c>
      <c r="C23" s="177" t="str">
        <f t="shared" ca="1" si="0"/>
        <v xml:space="preserve">Canadian River - McAlester City 138 kV Line Conversion </v>
      </c>
      <c r="D23" s="178">
        <f t="shared" ca="1" si="0"/>
        <v>2013</v>
      </c>
      <c r="E23" s="179">
        <v>0</v>
      </c>
      <c r="F23" s="180">
        <f t="shared" ca="1" si="0"/>
        <v>0</v>
      </c>
      <c r="G23" s="180">
        <f t="shared" ca="1" si="1"/>
        <v>0</v>
      </c>
      <c r="H23" s="181"/>
      <c r="I23" s="182">
        <f t="shared" ca="1" si="2"/>
        <v>165690.41140777664</v>
      </c>
      <c r="J23" s="183">
        <v>3160973.8116708687</v>
      </c>
      <c r="K23" s="183">
        <f t="shared" ref="K23:K37" si="9">J23/(J$39)*K$39</f>
        <v>3453397.3001870303</v>
      </c>
      <c r="L23" s="179">
        <f t="shared" si="3"/>
        <v>-292423.48851616168</v>
      </c>
      <c r="M23" s="179"/>
      <c r="N23" s="180">
        <v>0</v>
      </c>
      <c r="O23" s="180">
        <v>0</v>
      </c>
      <c r="P23" s="180"/>
      <c r="Q23" s="183">
        <f t="shared" ca="1" si="7"/>
        <v>-8752.7031790823403</v>
      </c>
      <c r="R23" s="184">
        <f t="shared" ca="1" si="8"/>
        <v>-135485.78028746738</v>
      </c>
      <c r="S23" s="184"/>
      <c r="T23" s="187">
        <f t="shared" ca="1" si="4"/>
        <v>-135485.78028746738</v>
      </c>
      <c r="V23" s="186">
        <f t="shared" ca="1" si="5"/>
        <v>-126733.07710838504</v>
      </c>
      <c r="W23" s="145" t="str">
        <f t="shared" si="6"/>
        <v>OKT.006</v>
      </c>
    </row>
    <row r="24" spans="1:23" ht="13">
      <c r="A24" s="155" t="s">
        <v>216</v>
      </c>
      <c r="B24" s="153" t="s">
        <v>182</v>
      </c>
      <c r="C24" s="177" t="str">
        <f t="shared" ca="1" si="0"/>
        <v xml:space="preserve">Cornville Station Conversion </v>
      </c>
      <c r="D24" s="178">
        <f t="shared" ca="1" si="0"/>
        <v>2014</v>
      </c>
      <c r="E24" s="179">
        <v>0</v>
      </c>
      <c r="F24" s="180">
        <f t="shared" ca="1" si="0"/>
        <v>0</v>
      </c>
      <c r="G24" s="180">
        <f t="shared" ref="G24:G30" ca="1" si="10">+E24+F24</f>
        <v>0</v>
      </c>
      <c r="H24" s="181"/>
      <c r="I24" s="182">
        <f t="shared" ca="1" si="2"/>
        <v>60670.865046339808</v>
      </c>
      <c r="J24" s="183">
        <v>1127161.7960846452</v>
      </c>
      <c r="K24" s="183">
        <f t="shared" si="9"/>
        <v>1231436.1761241893</v>
      </c>
      <c r="L24" s="179">
        <f t="shared" ref="L24:L30" si="11">+J24-K24</f>
        <v>-104274.38003954408</v>
      </c>
      <c r="M24" s="179"/>
      <c r="N24" s="180">
        <v>0</v>
      </c>
      <c r="O24" s="180">
        <v>0</v>
      </c>
      <c r="P24" s="180"/>
      <c r="Q24" s="183">
        <f t="shared" ca="1" si="7"/>
        <v>-3011.4365800002533</v>
      </c>
      <c r="R24" s="184">
        <f t="shared" ref="R24:R30" ca="1" si="12">I24+L24+P24+Q24</f>
        <v>-46614.951573204526</v>
      </c>
      <c r="S24" s="184"/>
      <c r="T24" s="187">
        <f t="shared" ref="T24:T30" ca="1" si="13">+G24+R24</f>
        <v>-46614.951573204526</v>
      </c>
      <c r="V24" s="186">
        <f t="shared" ref="V24:V30" ca="1" si="14">+I24+L24+P24</f>
        <v>-43603.51499320427</v>
      </c>
      <c r="W24" s="145" t="str">
        <f t="shared" ref="W24:W30" si="15">A24</f>
        <v>OKT.007</v>
      </c>
    </row>
    <row r="25" spans="1:23" ht="13">
      <c r="A25" s="155" t="s">
        <v>217</v>
      </c>
      <c r="B25" s="153" t="s">
        <v>182</v>
      </c>
      <c r="C25" s="177" t="str">
        <f t="shared" ca="1" si="0"/>
        <v>Coweta 69 kV Capacitor</v>
      </c>
      <c r="D25" s="178">
        <f t="shared" ca="1" si="0"/>
        <v>2014</v>
      </c>
      <c r="E25" s="188">
        <v>0</v>
      </c>
      <c r="F25" s="189">
        <f t="shared" ca="1" si="0"/>
        <v>0</v>
      </c>
      <c r="G25" s="189">
        <f t="shared" ca="1" si="10"/>
        <v>0</v>
      </c>
      <c r="H25" s="190"/>
      <c r="I25" s="182">
        <f t="shared" ca="1" si="2"/>
        <v>9859.9848762254987</v>
      </c>
      <c r="J25" s="183">
        <v>205417.70509957627</v>
      </c>
      <c r="K25" s="183">
        <f t="shared" si="9"/>
        <v>224421.0140502601</v>
      </c>
      <c r="L25" s="188">
        <f t="shared" si="11"/>
        <v>-19003.30895068383</v>
      </c>
      <c r="M25" s="188"/>
      <c r="N25" s="189">
        <v>0</v>
      </c>
      <c r="O25" s="189">
        <v>0</v>
      </c>
      <c r="P25" s="180"/>
      <c r="Q25" s="191">
        <f t="shared" ca="1" si="7"/>
        <v>-631.47525113312804</v>
      </c>
      <c r="R25" s="192">
        <f t="shared" ca="1" si="12"/>
        <v>-9774.7993255914589</v>
      </c>
      <c r="S25" s="192"/>
      <c r="T25" s="193">
        <f t="shared" ca="1" si="13"/>
        <v>-9774.7993255914589</v>
      </c>
      <c r="V25" s="186">
        <f ca="1">+I25+L25+P25</f>
        <v>-9143.3240744583309</v>
      </c>
      <c r="W25" s="145" t="str">
        <f t="shared" si="15"/>
        <v>OKT.008</v>
      </c>
    </row>
    <row r="26" spans="1:23" ht="13">
      <c r="A26" s="194" t="s">
        <v>225</v>
      </c>
      <c r="B26" s="153" t="s">
        <v>182</v>
      </c>
      <c r="C26" s="177" t="str">
        <f t="shared" ca="1" si="0"/>
        <v>Prattville-Bluebell 138 kV</v>
      </c>
      <c r="D26" s="178">
        <f t="shared" ca="1" si="0"/>
        <v>2015</v>
      </c>
      <c r="E26" s="188">
        <v>0</v>
      </c>
      <c r="F26" s="189">
        <f t="shared" ca="1" si="0"/>
        <v>0</v>
      </c>
      <c r="G26" s="189">
        <f t="shared" ca="1" si="10"/>
        <v>0</v>
      </c>
      <c r="H26" s="190"/>
      <c r="I26" s="182">
        <f t="shared" ca="1" si="2"/>
        <v>50374.399835685501</v>
      </c>
      <c r="J26" s="183">
        <v>956383.66694558028</v>
      </c>
      <c r="K26" s="183">
        <f t="shared" si="9"/>
        <v>1044859.2649450063</v>
      </c>
      <c r="L26" s="188">
        <f t="shared" si="11"/>
        <v>-88475.597999426071</v>
      </c>
      <c r="M26" s="188"/>
      <c r="N26" s="189">
        <v>0</v>
      </c>
      <c r="O26" s="189">
        <v>0</v>
      </c>
      <c r="P26" s="180"/>
      <c r="Q26" s="191">
        <f t="shared" ca="1" si="7"/>
        <v>-2631.4241388569085</v>
      </c>
      <c r="R26" s="192">
        <f t="shared" ca="1" si="12"/>
        <v>-40732.622302597476</v>
      </c>
      <c r="S26" s="192"/>
      <c r="T26" s="193">
        <f t="shared" ca="1" si="13"/>
        <v>-40732.622302597476</v>
      </c>
      <c r="V26" s="186">
        <f t="shared" ca="1" si="14"/>
        <v>-38101.19816374057</v>
      </c>
      <c r="W26" s="145" t="str">
        <f t="shared" si="15"/>
        <v>OKT.009</v>
      </c>
    </row>
    <row r="27" spans="1:23" ht="13">
      <c r="A27" s="194" t="s">
        <v>226</v>
      </c>
      <c r="B27" s="153" t="s">
        <v>182</v>
      </c>
      <c r="C27" s="177" t="str">
        <f t="shared" ca="1" si="0"/>
        <v>Wapanucka Customer Connection</v>
      </c>
      <c r="D27" s="178">
        <f t="shared" ca="1" si="0"/>
        <v>2013</v>
      </c>
      <c r="E27" s="188">
        <v>0</v>
      </c>
      <c r="F27" s="189">
        <f t="shared" ca="1" si="0"/>
        <v>0</v>
      </c>
      <c r="G27" s="189">
        <f t="shared" ca="1" si="10"/>
        <v>0</v>
      </c>
      <c r="H27" s="190"/>
      <c r="I27" s="182">
        <f t="shared" ca="1" si="2"/>
        <v>55448.571300727897</v>
      </c>
      <c r="J27" s="183">
        <v>804101.98589860392</v>
      </c>
      <c r="K27" s="183">
        <f t="shared" si="9"/>
        <v>878489.91881062975</v>
      </c>
      <c r="L27" s="188">
        <f t="shared" si="11"/>
        <v>-74387.932912025834</v>
      </c>
      <c r="M27" s="188"/>
      <c r="N27" s="189">
        <v>0</v>
      </c>
      <c r="O27" s="189">
        <v>0</v>
      </c>
      <c r="P27" s="180"/>
      <c r="Q27" s="191">
        <f t="shared" ca="1" si="7"/>
        <v>-1308.0295560347408</v>
      </c>
      <c r="R27" s="192">
        <f t="shared" ca="1" si="12"/>
        <v>-20247.391167332677</v>
      </c>
      <c r="S27" s="192"/>
      <c r="T27" s="193">
        <f t="shared" ca="1" si="13"/>
        <v>-20247.391167332677</v>
      </c>
      <c r="V27" s="186">
        <f t="shared" ca="1" si="14"/>
        <v>-18939.361611297936</v>
      </c>
      <c r="W27" s="145" t="str">
        <f t="shared" si="15"/>
        <v>OKT.010</v>
      </c>
    </row>
    <row r="28" spans="1:23" ht="13">
      <c r="A28" s="194" t="s">
        <v>227</v>
      </c>
      <c r="B28" s="153" t="s">
        <v>182</v>
      </c>
      <c r="C28" s="177" t="str">
        <f t="shared" ca="1" si="0"/>
        <v>Grady Customer Connection</v>
      </c>
      <c r="D28" s="178">
        <f t="shared" ca="1" si="0"/>
        <v>2014</v>
      </c>
      <c r="E28" s="188">
        <v>0</v>
      </c>
      <c r="F28" s="189">
        <f t="shared" ca="1" si="0"/>
        <v>0</v>
      </c>
      <c r="G28" s="189">
        <f t="shared" ca="1" si="10"/>
        <v>0</v>
      </c>
      <c r="H28" s="190"/>
      <c r="I28" s="182">
        <f t="shared" ca="1" si="2"/>
        <v>119450.18536766805</v>
      </c>
      <c r="J28" s="183">
        <v>2251538.7613085252</v>
      </c>
      <c r="K28" s="183">
        <f t="shared" si="9"/>
        <v>2459829.895097821</v>
      </c>
      <c r="L28" s="188">
        <f t="shared" si="11"/>
        <v>-208291.1337892958</v>
      </c>
      <c r="M28" s="188"/>
      <c r="N28" s="189">
        <v>0</v>
      </c>
      <c r="O28" s="189">
        <v>0</v>
      </c>
      <c r="P28" s="180"/>
      <c r="Q28" s="191">
        <f t="shared" ca="1" si="7"/>
        <v>-6135.718230984412</v>
      </c>
      <c r="R28" s="192">
        <f t="shared" ca="1" si="12"/>
        <v>-94976.666652612155</v>
      </c>
      <c r="S28" s="192"/>
      <c r="T28" s="193">
        <f t="shared" ca="1" si="13"/>
        <v>-94976.666652612155</v>
      </c>
      <c r="V28" s="186">
        <f t="shared" ca="1" si="14"/>
        <v>-88840.948421627749</v>
      </c>
      <c r="W28" s="145" t="str">
        <f t="shared" si="15"/>
        <v>OKT.011</v>
      </c>
    </row>
    <row r="29" spans="1:23" ht="13">
      <c r="A29" s="194" t="s">
        <v>228</v>
      </c>
      <c r="B29" s="153" t="s">
        <v>182</v>
      </c>
      <c r="C29" s="177" t="str">
        <f t="shared" ca="1" si="0"/>
        <v>Darlington-Red Rock 138 kV line</v>
      </c>
      <c r="D29" s="178">
        <f t="shared" ca="1" si="0"/>
        <v>2014</v>
      </c>
      <c r="E29" s="188">
        <v>0</v>
      </c>
      <c r="F29" s="189">
        <f t="shared" ca="1" si="0"/>
        <v>0</v>
      </c>
      <c r="G29" s="189">
        <f t="shared" ca="1" si="10"/>
        <v>0</v>
      </c>
      <c r="H29" s="190"/>
      <c r="I29" s="182">
        <f t="shared" ca="1" si="2"/>
        <v>145180.88782103336</v>
      </c>
      <c r="J29" s="183">
        <v>1478895.0439397926</v>
      </c>
      <c r="K29" s="183">
        <f t="shared" si="9"/>
        <v>1615708.4671644345</v>
      </c>
      <c r="L29" s="188">
        <f t="shared" si="11"/>
        <v>-136813.42322464194</v>
      </c>
      <c r="M29" s="188"/>
      <c r="N29" s="189">
        <v>0</v>
      </c>
      <c r="O29" s="189">
        <v>0</v>
      </c>
      <c r="P29" s="180"/>
      <c r="Q29" s="191">
        <f t="shared" ca="1" si="7"/>
        <v>577.89123127705147</v>
      </c>
      <c r="R29" s="192">
        <f t="shared" ca="1" si="12"/>
        <v>8945.3558276684744</v>
      </c>
      <c r="S29" s="192"/>
      <c r="T29" s="193">
        <f t="shared" ca="1" si="13"/>
        <v>8945.3558276684744</v>
      </c>
      <c r="V29" s="186">
        <f t="shared" ca="1" si="14"/>
        <v>8367.4645963914227</v>
      </c>
      <c r="W29" s="145" t="str">
        <f t="shared" si="15"/>
        <v>OKT.012</v>
      </c>
    </row>
    <row r="30" spans="1:23" ht="13">
      <c r="A30" s="194" t="s">
        <v>233</v>
      </c>
      <c r="B30" s="153" t="s">
        <v>182</v>
      </c>
      <c r="C30" s="177" t="str">
        <f t="shared" ca="1" si="0"/>
        <v>Ellis 138 kV</v>
      </c>
      <c r="D30" s="178">
        <f t="shared" ca="1" si="0"/>
        <v>2013</v>
      </c>
      <c r="E30" s="188">
        <v>0</v>
      </c>
      <c r="F30" s="189">
        <f t="shared" ca="1" si="0"/>
        <v>0</v>
      </c>
      <c r="G30" s="189">
        <f t="shared" ca="1" si="10"/>
        <v>0</v>
      </c>
      <c r="H30" s="190"/>
      <c r="I30" s="182">
        <f t="shared" ca="1" si="2"/>
        <v>0</v>
      </c>
      <c r="J30" s="183">
        <v>651312.9535692014</v>
      </c>
      <c r="K30" s="183">
        <f t="shared" si="9"/>
        <v>711566.28603758872</v>
      </c>
      <c r="L30" s="188">
        <f t="shared" si="11"/>
        <v>-60253.332468387322</v>
      </c>
      <c r="M30" s="188"/>
      <c r="N30" s="189">
        <v>0</v>
      </c>
      <c r="O30" s="189">
        <v>0</v>
      </c>
      <c r="P30" s="180"/>
      <c r="Q30" s="191">
        <f t="shared" ca="1" si="7"/>
        <v>-4161.3408802133936</v>
      </c>
      <c r="R30" s="192">
        <f t="shared" ca="1" si="12"/>
        <v>-64414.673348600714</v>
      </c>
      <c r="S30" s="192"/>
      <c r="T30" s="193">
        <f t="shared" ca="1" si="13"/>
        <v>-64414.673348600714</v>
      </c>
      <c r="V30" s="186">
        <f t="shared" ca="1" si="14"/>
        <v>-60253.332468387322</v>
      </c>
      <c r="W30" s="145" t="str">
        <f t="shared" si="15"/>
        <v>OKT.013</v>
      </c>
    </row>
    <row r="31" spans="1:23" ht="13">
      <c r="A31" s="194" t="s">
        <v>236</v>
      </c>
      <c r="B31" s="153" t="s">
        <v>182</v>
      </c>
      <c r="C31" s="177" t="str">
        <f t="shared" ca="1" si="0"/>
        <v>Valliant-NW Texarkana 345 kV</v>
      </c>
      <c r="D31" s="178">
        <f t="shared" ca="1" si="0"/>
        <v>2016</v>
      </c>
      <c r="E31" s="188">
        <v>0</v>
      </c>
      <c r="F31" s="189">
        <f t="shared" ca="1" si="0"/>
        <v>0</v>
      </c>
      <c r="G31" s="189">
        <f ca="1">+E31+F31</f>
        <v>0</v>
      </c>
      <c r="H31" s="190"/>
      <c r="I31" s="182">
        <f t="shared" ca="1" si="2"/>
        <v>252884.0262324214</v>
      </c>
      <c r="J31" s="183">
        <v>7417467.0835575005</v>
      </c>
      <c r="K31" s="183">
        <f t="shared" si="9"/>
        <v>8103661.1901075775</v>
      </c>
      <c r="L31" s="188">
        <f t="shared" ref="L31:L37" si="16">+J31-K31</f>
        <v>-686194.10655007698</v>
      </c>
      <c r="M31" s="188"/>
      <c r="N31" s="189">
        <v>0</v>
      </c>
      <c r="O31" s="189">
        <v>0</v>
      </c>
      <c r="P31" s="180"/>
      <c r="Q31" s="191">
        <f t="shared" ca="1" si="7"/>
        <v>-29926.161378384426</v>
      </c>
      <c r="R31" s="192">
        <f t="shared" ref="R31:R37" ca="1" si="17">I31+L31+P31+Q31</f>
        <v>-463236.24169604003</v>
      </c>
      <c r="S31" s="192"/>
      <c r="T31" s="193">
        <f t="shared" ref="T31:T37" ca="1" si="18">+G31+R31</f>
        <v>-463236.24169604003</v>
      </c>
      <c r="V31" s="186">
        <f t="shared" ref="V31:V37" ca="1" si="19">+I31+L31+P31</f>
        <v>-433310.08031765558</v>
      </c>
      <c r="W31" s="145" t="str">
        <f t="shared" ref="W31:W36" si="20">A31</f>
        <v>OKT.014</v>
      </c>
    </row>
    <row r="32" spans="1:23" ht="13">
      <c r="A32" s="194" t="s">
        <v>239</v>
      </c>
      <c r="B32" s="153" t="s">
        <v>182</v>
      </c>
      <c r="C32" s="177" t="str">
        <f t="shared" ca="1" si="0"/>
        <v>Darlington Roman Nose 138 kv</v>
      </c>
      <c r="D32" s="178">
        <f t="shared" ca="1" si="0"/>
        <v>2017</v>
      </c>
      <c r="E32" s="188">
        <v>0</v>
      </c>
      <c r="F32" s="189">
        <f t="shared" ca="1" si="0"/>
        <v>0</v>
      </c>
      <c r="G32" s="189">
        <f ca="1">+E32+F32</f>
        <v>0</v>
      </c>
      <c r="H32" s="190"/>
      <c r="I32" s="182">
        <f t="shared" ca="1" si="2"/>
        <v>69083.156971222954</v>
      </c>
      <c r="J32" s="183">
        <v>1372504.9243993366</v>
      </c>
      <c r="K32" s="183">
        <f t="shared" si="9"/>
        <v>1499476.1370416558</v>
      </c>
      <c r="L32" s="188">
        <f t="shared" si="16"/>
        <v>-126971.21264231927</v>
      </c>
      <c r="M32" s="188"/>
      <c r="N32" s="189">
        <v>0</v>
      </c>
      <c r="O32" s="189">
        <v>0</v>
      </c>
      <c r="P32" s="180"/>
      <c r="Q32" s="191">
        <f t="shared" ca="1" si="7"/>
        <v>-3997.9852179394206</v>
      </c>
      <c r="R32" s="192">
        <f t="shared" ca="1" si="17"/>
        <v>-61886.040889035736</v>
      </c>
      <c r="S32" s="192"/>
      <c r="T32" s="193">
        <f t="shared" ca="1" si="18"/>
        <v>-61886.040889035736</v>
      </c>
      <c r="V32" s="186">
        <f t="shared" ca="1" si="19"/>
        <v>-57888.055671096314</v>
      </c>
      <c r="W32" s="145" t="str">
        <f t="shared" si="20"/>
        <v>OKT.015</v>
      </c>
    </row>
    <row r="33" spans="1:23" ht="13">
      <c r="A33" s="194" t="s">
        <v>248</v>
      </c>
      <c r="B33" s="153" t="s">
        <v>182</v>
      </c>
      <c r="C33" s="177" t="str">
        <f t="shared" ca="1" si="0"/>
        <v>Carnegie South-Southwestern 123 kv line rebuild</v>
      </c>
      <c r="D33" s="178">
        <f t="shared" ca="1" si="0"/>
        <v>2017</v>
      </c>
      <c r="E33" s="188">
        <v>0</v>
      </c>
      <c r="F33" s="189">
        <f t="shared" ca="1" si="0"/>
        <v>0</v>
      </c>
      <c r="G33" s="189">
        <f ca="1">+E33+F33</f>
        <v>0</v>
      </c>
      <c r="H33" s="190"/>
      <c r="I33" s="182">
        <f t="shared" ca="1" si="2"/>
        <v>59935.072704868624</v>
      </c>
      <c r="J33" s="183">
        <v>1248360.2087843758</v>
      </c>
      <c r="K33" s="183">
        <f>J33/(J$39)*K$39</f>
        <v>1363846.7230445265</v>
      </c>
      <c r="L33" s="188">
        <f t="shared" si="16"/>
        <v>-115486.51426015073</v>
      </c>
      <c r="M33" s="188"/>
      <c r="N33" s="189">
        <v>0</v>
      </c>
      <c r="O33" s="189">
        <v>0</v>
      </c>
      <c r="P33" s="180"/>
      <c r="Q33" s="191">
        <f t="shared" ca="1" si="7"/>
        <v>-3836.6091173474265</v>
      </c>
      <c r="R33" s="192">
        <f t="shared" ca="1" si="17"/>
        <v>-59388.050672629528</v>
      </c>
      <c r="S33" s="192"/>
      <c r="T33" s="193">
        <f t="shared" ca="1" si="18"/>
        <v>-59388.050672629528</v>
      </c>
      <c r="V33" s="186">
        <f t="shared" ca="1" si="19"/>
        <v>-55551.441555282101</v>
      </c>
      <c r="W33" s="145" t="str">
        <f t="shared" si="20"/>
        <v>OKT.016</v>
      </c>
    </row>
    <row r="34" spans="1:23" ht="13">
      <c r="A34" s="194" t="s">
        <v>249</v>
      </c>
      <c r="B34" s="153" t="s">
        <v>182</v>
      </c>
      <c r="C34" s="177" t="str">
        <f t="shared" ca="1" si="0"/>
        <v>Chisholm - Gracemont 345 kv line and station</v>
      </c>
      <c r="D34" s="178">
        <f t="shared" ca="1" si="0"/>
        <v>2017</v>
      </c>
      <c r="E34" s="188">
        <v>0</v>
      </c>
      <c r="F34" s="189">
        <f t="shared" ca="1" si="0"/>
        <v>0</v>
      </c>
      <c r="G34" s="189">
        <f ca="1">+E34+F34</f>
        <v>0</v>
      </c>
      <c r="H34" s="190"/>
      <c r="I34" s="182">
        <f t="shared" ca="1" si="2"/>
        <v>491336.10965928435</v>
      </c>
      <c r="J34" s="183">
        <v>11265025.980124004</v>
      </c>
      <c r="K34" s="183">
        <f t="shared" si="9"/>
        <v>12307159.952626543</v>
      </c>
      <c r="L34" s="188">
        <f t="shared" si="16"/>
        <v>-1042133.9725025389</v>
      </c>
      <c r="M34" s="188"/>
      <c r="N34" s="189">
        <v>0</v>
      </c>
      <c r="O34" s="189">
        <v>0</v>
      </c>
      <c r="P34" s="180"/>
      <c r="Q34" s="191">
        <f t="shared" ca="1" si="7"/>
        <v>-38040.346807147347</v>
      </c>
      <c r="R34" s="192">
        <f t="shared" ca="1" si="17"/>
        <v>-588838.20965040196</v>
      </c>
      <c r="S34" s="192"/>
      <c r="T34" s="193">
        <f t="shared" ca="1" si="18"/>
        <v>-588838.20965040196</v>
      </c>
      <c r="V34" s="186">
        <f t="shared" ca="1" si="19"/>
        <v>-550797.86284325458</v>
      </c>
      <c r="W34" s="145" t="str">
        <f t="shared" si="20"/>
        <v>OKT.017</v>
      </c>
    </row>
    <row r="35" spans="1:23" ht="13">
      <c r="A35" s="194" t="s">
        <v>265</v>
      </c>
      <c r="B35" s="153" t="s">
        <v>182</v>
      </c>
      <c r="C35" s="177" t="str">
        <f t="shared" ca="1" si="0"/>
        <v>Fort Towson-Valliant 69 KV Line Rebuild</v>
      </c>
      <c r="D35" s="178">
        <f t="shared" ca="1" si="0"/>
        <v>2018</v>
      </c>
      <c r="E35" s="188">
        <v>0</v>
      </c>
      <c r="F35" s="189">
        <f t="shared" ca="1" si="0"/>
        <v>0</v>
      </c>
      <c r="G35" s="189">
        <f ca="1">+E35+F35</f>
        <v>0</v>
      </c>
      <c r="H35" s="190"/>
      <c r="I35" s="182">
        <f t="shared" ca="1" si="2"/>
        <v>238885.45962967863</v>
      </c>
      <c r="J35" s="183">
        <v>2007514.5813510963</v>
      </c>
      <c r="K35" s="183">
        <f t="shared" si="9"/>
        <v>2193230.8992017149</v>
      </c>
      <c r="L35" s="188">
        <f t="shared" si="16"/>
        <v>-185716.31785061862</v>
      </c>
      <c r="M35" s="188"/>
      <c r="N35" s="189">
        <v>0</v>
      </c>
      <c r="O35" s="189">
        <v>0</v>
      </c>
      <c r="P35" s="180"/>
      <c r="Q35" s="191">
        <f t="shared" ca="1" si="7"/>
        <v>3672.0777787211769</v>
      </c>
      <c r="R35" s="192">
        <f t="shared" ca="1" si="17"/>
        <v>56841.219557781187</v>
      </c>
      <c r="S35" s="192"/>
      <c r="T35" s="193">
        <f t="shared" ca="1" si="18"/>
        <v>56841.219557781187</v>
      </c>
      <c r="V35" s="186">
        <f t="shared" ca="1" si="19"/>
        <v>53169.14177906001</v>
      </c>
      <c r="W35" s="145" t="str">
        <f t="shared" si="20"/>
        <v>OKT.018</v>
      </c>
    </row>
    <row r="36" spans="1:23" ht="13">
      <c r="A36" s="194" t="s">
        <v>289</v>
      </c>
      <c r="B36" s="153" t="s">
        <v>182</v>
      </c>
      <c r="C36" s="177" t="str">
        <f t="shared" ca="1" si="0"/>
        <v>Duncan-Comanche Tap 69 KV Rebuild</v>
      </c>
      <c r="D36" s="178">
        <f t="shared" ca="1" si="0"/>
        <v>2018</v>
      </c>
      <c r="E36" s="188"/>
      <c r="F36" s="189"/>
      <c r="G36" s="189"/>
      <c r="H36" s="190"/>
      <c r="I36" s="182">
        <f t="shared" ca="1" si="2"/>
        <v>81740.85242104996</v>
      </c>
      <c r="J36" s="183">
        <v>1057.1796049762052</v>
      </c>
      <c r="K36" s="183">
        <f t="shared" si="9"/>
        <v>1154.9798926387809</v>
      </c>
      <c r="L36" s="188">
        <f t="shared" si="16"/>
        <v>-97.800287662575784</v>
      </c>
      <c r="M36" s="188"/>
      <c r="N36" s="189">
        <v>0</v>
      </c>
      <c r="O36" s="189">
        <v>0</v>
      </c>
      <c r="P36" s="180"/>
      <c r="Q36" s="191">
        <f ca="1">+V36/$V$39 * $Q$39</f>
        <v>5638.6021570891462</v>
      </c>
      <c r="R36" s="192">
        <f t="shared" ca="1" si="17"/>
        <v>87281.654290476537</v>
      </c>
      <c r="S36" s="192"/>
      <c r="T36" s="193">
        <f t="shared" ca="1" si="18"/>
        <v>87281.654290476537</v>
      </c>
      <c r="V36" s="186">
        <f t="shared" ca="1" si="19"/>
        <v>81643.052133387391</v>
      </c>
      <c r="W36" s="145" t="str">
        <f t="shared" si="20"/>
        <v>OKT.019</v>
      </c>
    </row>
    <row r="37" spans="1:23" ht="13">
      <c r="A37" s="194" t="s">
        <v>293</v>
      </c>
      <c r="B37" s="153" t="s">
        <v>182</v>
      </c>
      <c r="C37" s="177" t="str">
        <f t="shared" ca="1" si="0"/>
        <v>Keystone Dam - Wekiwa 138 kV</v>
      </c>
      <c r="D37" s="178">
        <v>2020</v>
      </c>
      <c r="E37" s="188"/>
      <c r="F37" s="189"/>
      <c r="G37" s="189"/>
      <c r="H37" s="190"/>
      <c r="I37" s="182">
        <f t="shared" ca="1" si="2"/>
        <v>4623.0790856612439</v>
      </c>
      <c r="J37" s="183">
        <v>235038.97436975082</v>
      </c>
      <c r="K37" s="183">
        <f t="shared" si="9"/>
        <v>256782.56381952629</v>
      </c>
      <c r="L37" s="188">
        <f t="shared" si="16"/>
        <v>-21743.589449775463</v>
      </c>
      <c r="M37" s="188"/>
      <c r="N37" s="189">
        <v>0</v>
      </c>
      <c r="O37" s="189">
        <v>0</v>
      </c>
      <c r="P37" s="180"/>
      <c r="Q37" s="191">
        <f ca="1">+V37/$V$39 * $Q$39</f>
        <v>-1182.4122708181296</v>
      </c>
      <c r="R37" s="192">
        <f t="shared" ca="1" si="17"/>
        <v>-18302.922634932351</v>
      </c>
      <c r="S37" s="192"/>
      <c r="T37" s="193">
        <f t="shared" ca="1" si="18"/>
        <v>-18302.922634932351</v>
      </c>
      <c r="V37" s="186">
        <f t="shared" ca="1" si="19"/>
        <v>-17120.51036411422</v>
      </c>
      <c r="W37" s="145" t="s">
        <v>293</v>
      </c>
    </row>
    <row r="38" spans="1:23" ht="13">
      <c r="A38" s="156"/>
      <c r="B38" s="156"/>
      <c r="C38" s="156"/>
      <c r="D38" s="153"/>
      <c r="E38" s="192"/>
      <c r="F38" s="192"/>
      <c r="G38" s="192"/>
      <c r="H38" s="184"/>
      <c r="I38" s="192"/>
      <c r="J38" s="192"/>
      <c r="K38" s="195"/>
      <c r="L38" s="192"/>
      <c r="M38" s="192"/>
      <c r="N38" s="192"/>
      <c r="O38" s="192"/>
      <c r="P38" s="192"/>
      <c r="Q38" s="192"/>
      <c r="R38" s="192"/>
      <c r="S38" s="184"/>
      <c r="T38" s="193"/>
      <c r="V38" s="176"/>
    </row>
    <row r="39" spans="1:23" ht="13">
      <c r="A39" s="156"/>
      <c r="B39" s="156"/>
      <c r="C39" s="196" t="s">
        <v>183</v>
      </c>
      <c r="D39" s="197"/>
      <c r="E39" s="198">
        <f>SUM(E18:E38)</f>
        <v>0</v>
      </c>
      <c r="F39" s="198">
        <f ca="1">SUM(F18:F38)</f>
        <v>0</v>
      </c>
      <c r="G39" s="198">
        <f ca="1">SUM(G18:G38)</f>
        <v>0</v>
      </c>
      <c r="H39" s="198"/>
      <c r="I39" s="198">
        <f ca="1">SUM(I18:I38)</f>
        <v>1875167.1842888009</v>
      </c>
      <c r="J39" s="198">
        <f>SUM(J18:J38)</f>
        <v>35586754.935261324</v>
      </c>
      <c r="K39" s="643">
        <v>38878905.912506558</v>
      </c>
      <c r="L39" s="198">
        <f>SUM(L18:L38)</f>
        <v>-3292150.9772452358</v>
      </c>
      <c r="M39" s="198"/>
      <c r="N39" s="198">
        <f>SUM(N18:N38)</f>
        <v>0</v>
      </c>
      <c r="O39" s="198">
        <f>SUM(O18:O38)</f>
        <v>0</v>
      </c>
      <c r="P39" s="198">
        <f>SUM(P18:P38)</f>
        <v>0</v>
      </c>
      <c r="Q39" s="199">
        <v>-97862.679833072238</v>
      </c>
      <c r="R39" s="198">
        <f ca="1">SUM(R18:R38)</f>
        <v>-1514846.4727895074</v>
      </c>
      <c r="S39" s="198"/>
      <c r="T39" s="198">
        <f ca="1">SUM(T18:T38)</f>
        <v>-1514846.4727895074</v>
      </c>
      <c r="V39" s="200">
        <f ca="1">SUM(V18:V38)</f>
        <v>-1416983.7929564351</v>
      </c>
      <c r="W39" s="201" t="s">
        <v>180</v>
      </c>
    </row>
    <row r="40" spans="1:23" ht="13.5" thickBot="1">
      <c r="A40" s="156"/>
      <c r="B40" s="156"/>
      <c r="C40" s="202"/>
      <c r="D40" s="156"/>
      <c r="E40" s="203"/>
      <c r="F40" s="204" t="str">
        <f ca="1">IF(F39=OKT.WS.F.BPU.ATRR.Projected!O19,"","Error")</f>
        <v/>
      </c>
      <c r="G40" s="205"/>
      <c r="H40" s="156"/>
      <c r="J40" s="206"/>
      <c r="K40" s="207"/>
      <c r="L40" s="207"/>
      <c r="M40" s="207"/>
      <c r="N40" s="207"/>
      <c r="O40" s="207"/>
      <c r="P40" s="207"/>
      <c r="Q40" s="207"/>
      <c r="R40" s="184"/>
      <c r="S40" s="184"/>
      <c r="T40" s="184"/>
      <c r="V40" s="208"/>
      <c r="W40" s="201"/>
    </row>
    <row r="41" spans="1:23" ht="12.5">
      <c r="A41" s="156"/>
      <c r="B41" s="156"/>
      <c r="C41" s="209" t="s">
        <v>212</v>
      </c>
      <c r="D41" s="156"/>
      <c r="E41" s="184"/>
      <c r="F41" s="184"/>
      <c r="G41" s="184"/>
      <c r="H41" s="156"/>
      <c r="I41" s="210"/>
      <c r="J41" s="210"/>
      <c r="K41" s="156" t="s">
        <v>290</v>
      </c>
      <c r="L41" s="156"/>
      <c r="M41" s="156"/>
      <c r="N41" s="207"/>
      <c r="O41" s="207"/>
      <c r="P41" s="207"/>
      <c r="Q41" s="207"/>
      <c r="R41" s="184"/>
      <c r="S41" s="184"/>
      <c r="T41" s="184"/>
    </row>
    <row r="42" spans="1:23" ht="12.5">
      <c r="A42" s="156"/>
      <c r="B42" s="156"/>
      <c r="C42" s="211" t="s">
        <v>157</v>
      </c>
      <c r="D42" s="156"/>
      <c r="E42" s="184"/>
      <c r="F42" s="184"/>
      <c r="G42" s="184"/>
      <c r="H42" s="156"/>
      <c r="J42" s="212"/>
      <c r="L42" s="156"/>
      <c r="M42" s="156"/>
      <c r="N42" s="207"/>
      <c r="O42" s="207"/>
      <c r="P42" s="207"/>
      <c r="Q42" s="207"/>
      <c r="R42" s="207"/>
      <c r="S42" s="156"/>
      <c r="T42" s="156"/>
    </row>
    <row r="43" spans="1:23" ht="12.5">
      <c r="E43" s="213"/>
      <c r="F43" s="213"/>
      <c r="G43" s="213"/>
      <c r="I43" s="213"/>
      <c r="J43" s="214"/>
      <c r="N43" s="215"/>
      <c r="O43" s="215"/>
      <c r="P43" s="215"/>
      <c r="Q43" s="215"/>
      <c r="R43" s="215"/>
    </row>
    <row r="44" spans="1:23" ht="12.5">
      <c r="E44" s="213"/>
      <c r="F44" s="213"/>
      <c r="G44" s="213"/>
    </row>
    <row r="45" spans="1:23" ht="12.5">
      <c r="A45" s="216" t="s">
        <v>158</v>
      </c>
      <c r="B45" s="217"/>
      <c r="C45" s="217"/>
      <c r="D45" s="217"/>
      <c r="E45" s="218"/>
      <c r="F45" s="218"/>
      <c r="G45" s="218"/>
      <c r="H45" s="217"/>
      <c r="I45" s="217"/>
      <c r="J45" s="217"/>
      <c r="K45" s="217"/>
      <c r="L45" s="217"/>
      <c r="M45" s="217"/>
      <c r="N45" s="217"/>
      <c r="O45" s="219"/>
      <c r="V45" s="145" t="s">
        <v>171</v>
      </c>
    </row>
    <row r="46" spans="1:23" ht="15.5">
      <c r="A46" s="220" t="s">
        <v>161</v>
      </c>
      <c r="B46" s="221"/>
      <c r="C46" s="222" t="str">
        <f ca="1">RIGHT(CELL("address",OKT.001!D7),4)</f>
        <v>$D$7</v>
      </c>
      <c r="D46" s="222" t="str">
        <f ca="1">RIGHT(CELL("address",OKT.001!D11),4)</f>
        <v>D$11</v>
      </c>
      <c r="E46" s="222" t="str">
        <f ca="1">RIGHT(CELL("address",OKT.001!N5),4)</f>
        <v>$N$5</v>
      </c>
      <c r="F46" s="222" t="str">
        <f ca="1">RIGHT(CELL("address",OKT.001!N7),4)</f>
        <v>$N$7</v>
      </c>
      <c r="G46" s="221"/>
      <c r="H46" s="223"/>
      <c r="I46" s="222" t="str">
        <f ca="1">RIGHT(CELL("address",OKT.001!M90),4)</f>
        <v>M$90</v>
      </c>
      <c r="J46" s="222"/>
      <c r="K46" s="221"/>
      <c r="L46" s="221"/>
      <c r="M46" s="221"/>
      <c r="N46" s="222" t="str">
        <f ca="1">RIGHT(CELL("address",OKT.001!N88),4)</f>
        <v>N$88</v>
      </c>
      <c r="O46" s="224" t="str">
        <f ca="1">RIGHT(CELL("address",OKT.001!N89),4)</f>
        <v>N$89</v>
      </c>
      <c r="P46" s="175" t="s">
        <v>160</v>
      </c>
      <c r="V46" s="145" t="s">
        <v>172</v>
      </c>
    </row>
    <row r="47" spans="1:23" ht="12.5">
      <c r="A47" s="225" t="s">
        <v>162</v>
      </c>
      <c r="B47" s="226"/>
      <c r="C47" s="226"/>
      <c r="D47" s="226"/>
      <c r="E47" s="227"/>
      <c r="F47" s="227"/>
      <c r="G47" s="227"/>
      <c r="H47" s="226"/>
      <c r="I47" s="226"/>
      <c r="J47" s="226"/>
      <c r="K47" s="226"/>
      <c r="L47" s="226"/>
      <c r="M47" s="226"/>
      <c r="N47" s="226"/>
      <c r="O47" s="228"/>
      <c r="V47" s="145" t="s">
        <v>173</v>
      </c>
    </row>
    <row r="48" spans="1:23" ht="12.5">
      <c r="E48" s="213"/>
      <c r="F48" s="213"/>
      <c r="G48" s="213"/>
      <c r="V48" s="145" t="s">
        <v>174</v>
      </c>
    </row>
    <row r="49" spans="5:22" ht="12.5">
      <c r="E49" s="213"/>
      <c r="F49" s="213"/>
      <c r="G49" s="213"/>
      <c r="V49" s="145" t="s">
        <v>175</v>
      </c>
    </row>
    <row r="54" spans="5:22" ht="12.75" customHeight="1">
      <c r="G54" s="157"/>
      <c r="I54" s="229"/>
      <c r="J54" s="229"/>
    </row>
    <row r="55" spans="5:22" ht="12.75" customHeight="1">
      <c r="E55" s="230"/>
      <c r="F55" s="230"/>
      <c r="G55" s="231"/>
      <c r="I55" s="230"/>
      <c r="J55" s="232"/>
    </row>
    <row r="56" spans="5:22" ht="12.75" customHeight="1">
      <c r="E56" s="230"/>
      <c r="F56" s="230"/>
      <c r="G56" s="231"/>
      <c r="I56" s="230"/>
      <c r="J56" s="232"/>
    </row>
    <row r="57" spans="5:22" ht="12.75" customHeight="1">
      <c r="E57" s="230"/>
      <c r="F57" s="230"/>
      <c r="G57" s="231"/>
      <c r="I57" s="230"/>
      <c r="J57" s="232"/>
    </row>
    <row r="58" spans="5:22" ht="12.75" customHeight="1">
      <c r="E58" s="230"/>
      <c r="F58" s="230"/>
      <c r="G58" s="231"/>
      <c r="I58" s="230"/>
      <c r="J58" s="232"/>
    </row>
    <row r="59" spans="5:22" ht="12.75" customHeight="1">
      <c r="E59" s="230"/>
      <c r="F59" s="230"/>
      <c r="G59" s="231"/>
      <c r="I59" s="230"/>
      <c r="J59" s="232"/>
    </row>
    <row r="60" spans="5:22" ht="12.75" customHeight="1">
      <c r="E60" s="230"/>
      <c r="F60" s="230"/>
      <c r="G60" s="231"/>
      <c r="I60" s="230"/>
      <c r="J60" s="232"/>
    </row>
    <row r="61" spans="5:22" ht="12.75" customHeight="1">
      <c r="E61" s="230"/>
      <c r="F61" s="230"/>
      <c r="G61" s="231"/>
      <c r="I61" s="230"/>
      <c r="J61" s="232"/>
    </row>
    <row r="62" spans="5:22" ht="12.75" customHeight="1">
      <c r="E62" s="230"/>
      <c r="F62" s="230"/>
      <c r="G62" s="231"/>
      <c r="I62" s="230"/>
      <c r="J62" s="232"/>
    </row>
    <row r="63" spans="5:22" ht="12.75" customHeight="1">
      <c r="E63" s="230"/>
      <c r="F63" s="230"/>
      <c r="G63" s="231"/>
      <c r="I63" s="230"/>
      <c r="J63" s="232"/>
    </row>
    <row r="64" spans="5:22" ht="12.75" customHeight="1">
      <c r="E64" s="230"/>
      <c r="F64" s="230"/>
      <c r="G64" s="231"/>
      <c r="I64" s="230"/>
      <c r="J64" s="232"/>
    </row>
    <row r="65" spans="5:10" ht="12.75" customHeight="1">
      <c r="E65" s="230"/>
      <c r="F65" s="230"/>
      <c r="G65" s="231"/>
      <c r="I65" s="230"/>
      <c r="J65" s="232"/>
    </row>
    <row r="66" spans="5:10" ht="12.75" customHeight="1">
      <c r="E66" s="230"/>
      <c r="F66" s="230"/>
      <c r="G66" s="231"/>
      <c r="I66" s="230"/>
      <c r="J66" s="232"/>
    </row>
    <row r="67" spans="5:10" ht="12.75" customHeight="1">
      <c r="E67" s="230"/>
      <c r="F67" s="230"/>
      <c r="G67" s="231"/>
      <c r="I67" s="230"/>
      <c r="J67" s="232"/>
    </row>
    <row r="68" spans="5:10" ht="12.75" customHeight="1">
      <c r="E68" s="230"/>
      <c r="F68" s="230"/>
      <c r="G68" s="231"/>
      <c r="I68" s="230"/>
      <c r="J68" s="232"/>
    </row>
    <row r="69" spans="5:10" ht="12.75" customHeight="1">
      <c r="E69" s="230"/>
      <c r="F69" s="230"/>
      <c r="G69" s="231"/>
      <c r="I69" s="230"/>
      <c r="J69" s="232"/>
    </row>
    <row r="70" spans="5:10" ht="12.75" customHeight="1">
      <c r="E70" s="230"/>
      <c r="F70" s="230"/>
      <c r="G70" s="231"/>
      <c r="I70" s="230"/>
      <c r="J70" s="232"/>
    </row>
    <row r="71" spans="5:10" ht="12.75" customHeight="1">
      <c r="E71" s="230"/>
      <c r="F71" s="230"/>
      <c r="G71" s="231"/>
      <c r="I71" s="230"/>
      <c r="J71" s="232"/>
    </row>
    <row r="72" spans="5:10" ht="12.75" customHeight="1">
      <c r="E72" s="230"/>
      <c r="F72" s="230"/>
      <c r="G72" s="231"/>
      <c r="I72" s="230"/>
      <c r="J72" s="232"/>
    </row>
    <row r="73" spans="5:10" ht="12.75" customHeight="1">
      <c r="E73" s="230"/>
      <c r="F73" s="230"/>
      <c r="G73" s="231"/>
      <c r="I73" s="230"/>
      <c r="J73" s="232"/>
    </row>
    <row r="74" spans="5:10" ht="12.75" customHeight="1">
      <c r="E74" s="230"/>
      <c r="F74" s="230"/>
      <c r="I74" s="230"/>
      <c r="J74" s="232"/>
    </row>
    <row r="75" spans="5:10" ht="12.75" customHeight="1">
      <c r="E75" s="230"/>
      <c r="F75" s="230"/>
      <c r="G75" s="231"/>
      <c r="I75" s="230"/>
      <c r="J75" s="232"/>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U163"/>
  <sheetViews>
    <sheetView tabSelected="1" view="pageBreakPreview" zoomScale="80" zoomScaleNormal="100" zoomScaleSheetLayoutView="8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8.54296875" style="145" customWidth="1"/>
    <col min="11" max="11" width="17.7265625" style="145" customWidth="1"/>
    <col min="12" max="12" width="16.1796875" style="145" customWidth="1"/>
    <col min="13" max="13" width="18.7265625" style="145" customWidth="1"/>
    <col min="14" max="14" width="20.453125" style="145" customWidth="1"/>
    <col min="15" max="15" width="20"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7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1229743.0760443411</v>
      </c>
      <c r="P5" s="244"/>
      <c r="R5" s="244"/>
      <c r="S5" s="244"/>
      <c r="T5" s="244"/>
      <c r="U5" s="244"/>
    </row>
    <row r="6" spans="1:21" ht="15.5">
      <c r="C6" s="236"/>
      <c r="D6" s="293"/>
      <c r="E6" s="244"/>
      <c r="F6" s="244"/>
      <c r="G6" s="244"/>
      <c r="H6" s="450"/>
      <c r="I6" s="450"/>
      <c r="J6" s="451"/>
      <c r="K6" s="452" t="s">
        <v>243</v>
      </c>
      <c r="L6" s="453"/>
      <c r="M6" s="279"/>
      <c r="N6" s="454">
        <f>VLOOKUP(I10,C17:I73,6)</f>
        <v>1229743.0760443411</v>
      </c>
      <c r="O6" s="244"/>
      <c r="P6" s="244"/>
      <c r="R6" s="244"/>
      <c r="S6" s="244"/>
      <c r="T6" s="244"/>
      <c r="U6" s="244"/>
    </row>
    <row r="7" spans="1:21" ht="13.5" thickBot="1">
      <c r="C7" s="455" t="s">
        <v>46</v>
      </c>
      <c r="D7" s="456" t="s">
        <v>214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213</v>
      </c>
      <c r="E9" s="466"/>
      <c r="F9" s="466"/>
      <c r="G9" s="466"/>
      <c r="H9" s="466"/>
      <c r="I9" s="467"/>
      <c r="J9" s="468"/>
      <c r="O9" s="469"/>
      <c r="P9" s="279"/>
      <c r="R9" s="244"/>
      <c r="S9" s="244"/>
      <c r="T9" s="244"/>
      <c r="U9" s="244"/>
    </row>
    <row r="10" spans="1:21" ht="13">
      <c r="C10" s="470" t="s">
        <v>49</v>
      </c>
      <c r="D10" s="471">
        <v>10218098</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300532.29411764705</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10780000</v>
      </c>
      <c r="E17" s="498">
        <v>108783.19956647091</v>
      </c>
      <c r="F17" s="497">
        <v>10671216.80043353</v>
      </c>
      <c r="G17" s="498">
        <v>891533.50922396348</v>
      </c>
      <c r="H17" s="500">
        <v>891533.50922396348</v>
      </c>
      <c r="I17" s="501">
        <v>0</v>
      </c>
      <c r="J17" s="501"/>
      <c r="K17" s="502">
        <f t="shared" ref="K17:K22" si="1">G17</f>
        <v>891533.50922396348</v>
      </c>
      <c r="L17" s="503">
        <f t="shared" ref="L17:L22" si="2">IF(K17&lt;&gt;0,+G17-K17,0)</f>
        <v>0</v>
      </c>
      <c r="M17" s="502">
        <f t="shared" ref="M17:M22" si="3">H17</f>
        <v>891533.50922396348</v>
      </c>
      <c r="N17" s="504">
        <f>IF(M17&lt;&gt;0,+H17-M17,0)</f>
        <v>0</v>
      </c>
      <c r="O17" s="505">
        <f>+N17-L17</f>
        <v>0</v>
      </c>
      <c r="P17" s="279"/>
      <c r="R17" s="244"/>
      <c r="S17" s="244"/>
      <c r="T17" s="244"/>
      <c r="U17" s="244"/>
    </row>
    <row r="18" spans="2:21" ht="12.5">
      <c r="B18" s="145" t="str">
        <f t="shared" si="0"/>
        <v/>
      </c>
      <c r="C18" s="496">
        <f>IF(D11="","-",+C17+1)</f>
        <v>2015</v>
      </c>
      <c r="D18" s="497">
        <v>10671216.80043353</v>
      </c>
      <c r="E18" s="499">
        <v>177316.90361351607</v>
      </c>
      <c r="F18" s="497">
        <v>10493899.896820014</v>
      </c>
      <c r="G18" s="499">
        <v>1258875.2944357994</v>
      </c>
      <c r="H18" s="500">
        <v>1258875.2944357994</v>
      </c>
      <c r="I18" s="501">
        <v>0</v>
      </c>
      <c r="J18" s="501"/>
      <c r="K18" s="507">
        <f t="shared" si="1"/>
        <v>1258875.2944357994</v>
      </c>
      <c r="L18" s="508">
        <f t="shared" si="2"/>
        <v>0</v>
      </c>
      <c r="M18" s="507">
        <f t="shared" si="3"/>
        <v>1258875.2944357994</v>
      </c>
      <c r="N18" s="505">
        <f>IF(M18&lt;&gt;0,+H18-M18,0)</f>
        <v>0</v>
      </c>
      <c r="O18" s="505">
        <f>+N18-L18</f>
        <v>0</v>
      </c>
      <c r="P18" s="279"/>
      <c r="R18" s="244"/>
      <c r="S18" s="244"/>
      <c r="T18" s="244"/>
      <c r="U18" s="244"/>
    </row>
    <row r="19" spans="2:21" ht="12.5">
      <c r="B19" s="145" t="str">
        <f t="shared" si="0"/>
        <v>IU</v>
      </c>
      <c r="C19" s="496">
        <f>IF(D11="","-",+C18+1)</f>
        <v>2016</v>
      </c>
      <c r="D19" s="497">
        <v>9931637.8968200125</v>
      </c>
      <c r="E19" s="499">
        <v>212319.01830997164</v>
      </c>
      <c r="F19" s="497">
        <v>9719318.8785100412</v>
      </c>
      <c r="G19" s="499">
        <v>1260842.7357894429</v>
      </c>
      <c r="H19" s="500">
        <v>1260842.7357894429</v>
      </c>
      <c r="I19" s="501">
        <f>H19-G19</f>
        <v>0</v>
      </c>
      <c r="J19" s="501"/>
      <c r="K19" s="507">
        <f t="shared" si="1"/>
        <v>1260842.7357894429</v>
      </c>
      <c r="L19" s="508">
        <f t="shared" si="2"/>
        <v>0</v>
      </c>
      <c r="M19" s="507">
        <f t="shared" si="3"/>
        <v>1260842.7357894429</v>
      </c>
      <c r="N19" s="505">
        <f t="shared" ref="N19:N73" si="4">IF(M19&lt;&gt;0,+H19-M19,0)</f>
        <v>0</v>
      </c>
      <c r="O19" s="505">
        <f t="shared" ref="O19:O73" si="5">+N19-L19</f>
        <v>0</v>
      </c>
      <c r="P19" s="279"/>
      <c r="R19" s="244"/>
      <c r="S19" s="244"/>
      <c r="T19" s="244"/>
      <c r="U19" s="244"/>
    </row>
    <row r="20" spans="2:21" ht="12.5">
      <c r="B20" s="145" t="str">
        <f t="shared" si="0"/>
        <v>IU</v>
      </c>
      <c r="C20" s="496">
        <f>IF(D11="","-",+C19+1)</f>
        <v>2017</v>
      </c>
      <c r="D20" s="497">
        <v>9719678.8785100412</v>
      </c>
      <c r="E20" s="499">
        <v>200908.03630390498</v>
      </c>
      <c r="F20" s="497">
        <v>9518770.8422061354</v>
      </c>
      <c r="G20" s="499">
        <v>1258445.35153371</v>
      </c>
      <c r="H20" s="500">
        <v>1258445.35153371</v>
      </c>
      <c r="I20" s="501">
        <f t="shared" ref="I20:I73" si="6">H20-G20</f>
        <v>0</v>
      </c>
      <c r="J20" s="501"/>
      <c r="K20" s="507">
        <f t="shared" si="1"/>
        <v>1258445.35153371</v>
      </c>
      <c r="L20" s="508">
        <f t="shared" si="2"/>
        <v>0</v>
      </c>
      <c r="M20" s="507">
        <f t="shared" si="3"/>
        <v>1258445.35153371</v>
      </c>
      <c r="N20" s="505">
        <f>IF(M20&lt;&gt;0,+H20-M20,0)</f>
        <v>0</v>
      </c>
      <c r="O20" s="505">
        <f>+N20-L20</f>
        <v>0</v>
      </c>
      <c r="P20" s="279"/>
      <c r="R20" s="244"/>
      <c r="S20" s="244"/>
      <c r="T20" s="244"/>
      <c r="U20" s="244"/>
    </row>
    <row r="21" spans="2:21" ht="12.5">
      <c r="B21" s="145" t="str">
        <f t="shared" si="0"/>
        <v/>
      </c>
      <c r="C21" s="496">
        <f>IF(D11="","-",+C20+1)</f>
        <v>2018</v>
      </c>
      <c r="D21" s="497">
        <v>9518770.8422061354</v>
      </c>
      <c r="E21" s="499">
        <v>250594.58163414692</v>
      </c>
      <c r="F21" s="497">
        <v>9268176.2605719883</v>
      </c>
      <c r="G21" s="499">
        <v>1354243.4360330855</v>
      </c>
      <c r="H21" s="500">
        <v>1354243.4360330855</v>
      </c>
      <c r="I21" s="501">
        <v>0</v>
      </c>
      <c r="J21" s="501"/>
      <c r="K21" s="507">
        <f t="shared" si="1"/>
        <v>1354243.4360330855</v>
      </c>
      <c r="L21" s="508">
        <f t="shared" si="2"/>
        <v>0</v>
      </c>
      <c r="M21" s="507">
        <f t="shared" si="3"/>
        <v>1354243.4360330855</v>
      </c>
      <c r="N21" s="505">
        <f>IF(M21&lt;&gt;0,+H21-M21,0)</f>
        <v>0</v>
      </c>
      <c r="O21" s="505">
        <f>+N21-L21</f>
        <v>0</v>
      </c>
      <c r="P21" s="279"/>
      <c r="R21" s="244"/>
      <c r="S21" s="244"/>
      <c r="T21" s="244"/>
      <c r="U21" s="244"/>
    </row>
    <row r="22" spans="2:21" ht="12.5">
      <c r="B22" s="145" t="str">
        <f t="shared" si="0"/>
        <v/>
      </c>
      <c r="C22" s="496">
        <f>IF(D11="","-",+C21+1)</f>
        <v>2019</v>
      </c>
      <c r="D22" s="497">
        <v>9268176.2605719883</v>
      </c>
      <c r="E22" s="499">
        <v>250594.58163414692</v>
      </c>
      <c r="F22" s="497">
        <v>9017581.6789378412</v>
      </c>
      <c r="G22" s="499">
        <v>1324800.821282953</v>
      </c>
      <c r="H22" s="500">
        <v>1324800.821282953</v>
      </c>
      <c r="I22" s="501">
        <f t="shared" si="6"/>
        <v>0</v>
      </c>
      <c r="J22" s="501"/>
      <c r="K22" s="507">
        <f t="shared" si="1"/>
        <v>1324800.821282953</v>
      </c>
      <c r="L22" s="508">
        <f t="shared" si="2"/>
        <v>0</v>
      </c>
      <c r="M22" s="507">
        <f t="shared" si="3"/>
        <v>1324800.821282953</v>
      </c>
      <c r="N22" s="505">
        <f>IF(M22&lt;&gt;0,+H22-M22,0)</f>
        <v>0</v>
      </c>
      <c r="O22" s="505">
        <f>+N22-L22</f>
        <v>0</v>
      </c>
      <c r="P22" s="279"/>
      <c r="R22" s="244"/>
      <c r="S22" s="244"/>
      <c r="T22" s="244"/>
      <c r="U22" s="244"/>
    </row>
    <row r="23" spans="2:21" ht="12.5">
      <c r="B23" s="145" t="str">
        <f t="shared" si="0"/>
        <v/>
      </c>
      <c r="C23" s="496">
        <f>IF(D11="","-",+C22+1)</f>
        <v>2020</v>
      </c>
      <c r="D23" s="497">
        <v>9017581.6789378412</v>
      </c>
      <c r="E23" s="499">
        <v>299204.10245587147</v>
      </c>
      <c r="F23" s="497">
        <v>8718377.57648197</v>
      </c>
      <c r="G23" s="499">
        <v>1229743.0760443411</v>
      </c>
      <c r="H23" s="500">
        <v>1229743.0760443411</v>
      </c>
      <c r="I23" s="501">
        <f t="shared" si="6"/>
        <v>0</v>
      </c>
      <c r="J23" s="501"/>
      <c r="K23" s="507">
        <f t="shared" ref="K23" si="7">G23</f>
        <v>1229743.0760443411</v>
      </c>
      <c r="L23" s="508">
        <f t="shared" ref="L23" si="8">IF(K23&lt;&gt;0,+G23-K23,0)</f>
        <v>0</v>
      </c>
      <c r="M23" s="507">
        <f t="shared" ref="M23" si="9">H23</f>
        <v>1229743.0760443411</v>
      </c>
      <c r="N23" s="505">
        <f t="shared" si="4"/>
        <v>0</v>
      </c>
      <c r="O23" s="505">
        <f t="shared" si="5"/>
        <v>0</v>
      </c>
      <c r="P23" s="279"/>
      <c r="R23" s="244"/>
      <c r="S23" s="244"/>
      <c r="T23" s="244"/>
      <c r="U23" s="244"/>
    </row>
    <row r="24" spans="2:21" ht="12.5">
      <c r="B24" s="145" t="str">
        <f t="shared" si="0"/>
        <v/>
      </c>
      <c r="C24" s="496">
        <f>IF(D11="","-",+C23+1)</f>
        <v>2021</v>
      </c>
      <c r="D24" s="509">
        <f>IF(F23+SUM(E$17:E23)=D$10,F23,D$10-SUM(E$17:E23))</f>
        <v>8718377.57648197</v>
      </c>
      <c r="E24" s="510">
        <f t="shared" ref="E24:E73" si="10">IF(+$I$14&lt;F23,$I$14,D24)</f>
        <v>300532.29411764705</v>
      </c>
      <c r="F24" s="511">
        <f t="shared" ref="F24:F73" si="11">+D24-E24</f>
        <v>8417845.2823643237</v>
      </c>
      <c r="G24" s="512">
        <f t="shared" ref="G24:G73" si="12">(D24+F24)/2*I$12+E24</f>
        <v>1212326.2826877215</v>
      </c>
      <c r="H24" s="478">
        <f t="shared" ref="H24:H73" si="13">+(D24+F24)/2*I$13+E24</f>
        <v>1212326.2826877215</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8417845.2823643237</v>
      </c>
      <c r="E25" s="510">
        <f t="shared" si="10"/>
        <v>300532.29411764705</v>
      </c>
      <c r="F25" s="511">
        <f t="shared" si="11"/>
        <v>8117312.9882466765</v>
      </c>
      <c r="G25" s="512">
        <f t="shared" si="12"/>
        <v>1180344.4928376691</v>
      </c>
      <c r="H25" s="478">
        <f t="shared" si="13"/>
        <v>1180344.4928376691</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8117312.9882466765</v>
      </c>
      <c r="E26" s="510">
        <f t="shared" si="10"/>
        <v>300532.29411764705</v>
      </c>
      <c r="F26" s="511">
        <f t="shared" si="11"/>
        <v>7816780.6941290293</v>
      </c>
      <c r="G26" s="512">
        <f t="shared" si="12"/>
        <v>1148362.7029876166</v>
      </c>
      <c r="H26" s="478">
        <f t="shared" si="13"/>
        <v>1148362.7029876166</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7816780.6941290293</v>
      </c>
      <c r="E27" s="510">
        <f t="shared" si="10"/>
        <v>300532.29411764705</v>
      </c>
      <c r="F27" s="511">
        <f t="shared" si="11"/>
        <v>7516248.4000113821</v>
      </c>
      <c r="G27" s="512">
        <f t="shared" si="12"/>
        <v>1116380.913137564</v>
      </c>
      <c r="H27" s="478">
        <f t="shared" si="13"/>
        <v>1116380.913137564</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7516248.4000113821</v>
      </c>
      <c r="E28" s="510">
        <f t="shared" si="10"/>
        <v>300532.29411764705</v>
      </c>
      <c r="F28" s="511">
        <f t="shared" si="11"/>
        <v>7215716.1058937348</v>
      </c>
      <c r="G28" s="512">
        <f t="shared" si="12"/>
        <v>1084399.1232875115</v>
      </c>
      <c r="H28" s="478">
        <f t="shared" si="13"/>
        <v>1084399.1232875115</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7215716.1058937348</v>
      </c>
      <c r="E29" s="510">
        <f t="shared" si="10"/>
        <v>300532.29411764705</v>
      </c>
      <c r="F29" s="511">
        <f t="shared" si="11"/>
        <v>6915183.8117760876</v>
      </c>
      <c r="G29" s="512">
        <f t="shared" si="12"/>
        <v>1052417.3334374588</v>
      </c>
      <c r="H29" s="478">
        <f t="shared" si="13"/>
        <v>1052417.3334374588</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6915183.8117760876</v>
      </c>
      <c r="E30" s="510">
        <f t="shared" si="10"/>
        <v>300532.29411764705</v>
      </c>
      <c r="F30" s="511">
        <f t="shared" si="11"/>
        <v>6614651.5176584404</v>
      </c>
      <c r="G30" s="512">
        <f t="shared" si="12"/>
        <v>1020435.5435874064</v>
      </c>
      <c r="H30" s="478">
        <f t="shared" si="13"/>
        <v>1020435.5435874064</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6614651.5176584404</v>
      </c>
      <c r="E31" s="510">
        <f t="shared" si="10"/>
        <v>300532.29411764705</v>
      </c>
      <c r="F31" s="511">
        <f t="shared" si="11"/>
        <v>6314119.2235407932</v>
      </c>
      <c r="G31" s="512">
        <f t="shared" si="12"/>
        <v>988453.75373735395</v>
      </c>
      <c r="H31" s="478">
        <f t="shared" si="13"/>
        <v>988453.75373735395</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6314119.2235407932</v>
      </c>
      <c r="E32" s="510">
        <f>IF(+$I$14&lt;F31,$I$14,D32)</f>
        <v>300532.29411764705</v>
      </c>
      <c r="F32" s="511">
        <f>+D32-E32</f>
        <v>6013586.9294231459</v>
      </c>
      <c r="G32" s="512">
        <f t="shared" si="12"/>
        <v>956471.96388730151</v>
      </c>
      <c r="H32" s="478">
        <f t="shared" si="13"/>
        <v>956471.96388730151</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82">
        <f>IF(F32+SUM(E$17:E32)=D$10,F32,D$10-SUM(E$17:E32))</f>
        <v>6013586.9294231459</v>
      </c>
      <c r="E33" s="510">
        <f>IF(+$I$14&lt;F31,$I$14,D33)</f>
        <v>300532.29411764705</v>
      </c>
      <c r="F33" s="511">
        <f t="shared" si="11"/>
        <v>5713054.6353054987</v>
      </c>
      <c r="G33" s="512">
        <f t="shared" si="12"/>
        <v>924490.17403724883</v>
      </c>
      <c r="H33" s="478">
        <f t="shared" si="13"/>
        <v>924490.17403724883</v>
      </c>
      <c r="I33" s="501">
        <f t="shared" si="6"/>
        <v>0</v>
      </c>
      <c r="J33" s="501"/>
      <c r="K33" s="513"/>
      <c r="L33" s="505">
        <f t="shared" si="14"/>
        <v>0</v>
      </c>
      <c r="M33" s="513"/>
      <c r="N33" s="505">
        <f t="shared" si="4"/>
        <v>0</v>
      </c>
      <c r="O33" s="505">
        <f t="shared" si="5"/>
        <v>0</v>
      </c>
      <c r="P33" s="279"/>
      <c r="R33" s="244"/>
      <c r="S33" s="244"/>
      <c r="T33" s="244"/>
      <c r="U33" s="244"/>
    </row>
    <row r="34" spans="2:21" ht="12.5">
      <c r="B34" s="145" t="str">
        <f t="shared" si="0"/>
        <v/>
      </c>
      <c r="C34" s="514">
        <f>IF(D11="","-",+C33+1)</f>
        <v>2031</v>
      </c>
      <c r="D34" s="582">
        <f>IF(F33+SUM(E$17:E33)=D$10,F33,D$10-SUM(E$17:E33))</f>
        <v>5713054.6353054987</v>
      </c>
      <c r="E34" s="516">
        <f t="shared" si="10"/>
        <v>300532.29411764705</v>
      </c>
      <c r="F34" s="517">
        <f t="shared" si="11"/>
        <v>5412522.3411878515</v>
      </c>
      <c r="G34" s="518">
        <f t="shared" si="12"/>
        <v>892508.38418719638</v>
      </c>
      <c r="H34" s="519">
        <f t="shared" si="13"/>
        <v>892508.38418719638</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5412522.3411878515</v>
      </c>
      <c r="E35" s="510">
        <f t="shared" si="10"/>
        <v>300532.29411764705</v>
      </c>
      <c r="F35" s="511">
        <f t="shared" si="11"/>
        <v>5111990.0470702043</v>
      </c>
      <c r="G35" s="512">
        <f t="shared" si="12"/>
        <v>860526.5943371437</v>
      </c>
      <c r="H35" s="478">
        <f t="shared" si="13"/>
        <v>860526.5943371437</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5111990.0470702043</v>
      </c>
      <c r="E36" s="510">
        <f t="shared" si="10"/>
        <v>300532.29411764705</v>
      </c>
      <c r="F36" s="511">
        <f t="shared" si="11"/>
        <v>4811457.7529525571</v>
      </c>
      <c r="G36" s="512">
        <f t="shared" si="12"/>
        <v>828544.80448709126</v>
      </c>
      <c r="H36" s="478">
        <f t="shared" si="13"/>
        <v>828544.80448709126</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4811457.7529525571</v>
      </c>
      <c r="E37" s="510">
        <f t="shared" si="10"/>
        <v>300532.29411764705</v>
      </c>
      <c r="F37" s="511">
        <f t="shared" si="11"/>
        <v>4510925.4588349098</v>
      </c>
      <c r="G37" s="512">
        <f t="shared" si="12"/>
        <v>796563.01463703858</v>
      </c>
      <c r="H37" s="478">
        <f t="shared" si="13"/>
        <v>796563.01463703858</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4510925.4588349098</v>
      </c>
      <c r="E38" s="510">
        <f t="shared" si="10"/>
        <v>300532.29411764705</v>
      </c>
      <c r="F38" s="511">
        <f t="shared" si="11"/>
        <v>4210393.1647172626</v>
      </c>
      <c r="G38" s="512">
        <f t="shared" si="12"/>
        <v>764581.22478698625</v>
      </c>
      <c r="H38" s="478">
        <f t="shared" si="13"/>
        <v>764581.22478698625</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4210393.1647172626</v>
      </c>
      <c r="E39" s="510">
        <f t="shared" si="10"/>
        <v>300532.29411764705</v>
      </c>
      <c r="F39" s="511">
        <f t="shared" si="11"/>
        <v>3909860.8705996154</v>
      </c>
      <c r="G39" s="512">
        <f t="shared" si="12"/>
        <v>732599.43493693369</v>
      </c>
      <c r="H39" s="478">
        <f t="shared" si="13"/>
        <v>732599.43493693369</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3909860.8705996154</v>
      </c>
      <c r="E40" s="510">
        <f t="shared" si="10"/>
        <v>300532.29411764705</v>
      </c>
      <c r="F40" s="511">
        <f t="shared" si="11"/>
        <v>3609328.5764819682</v>
      </c>
      <c r="G40" s="512">
        <f t="shared" si="12"/>
        <v>700617.64508688112</v>
      </c>
      <c r="H40" s="478">
        <f t="shared" si="13"/>
        <v>700617.64508688112</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3609328.5764819682</v>
      </c>
      <c r="E41" s="510">
        <f t="shared" si="10"/>
        <v>300532.29411764705</v>
      </c>
      <c r="F41" s="511">
        <f t="shared" si="11"/>
        <v>3308796.2823643209</v>
      </c>
      <c r="G41" s="512">
        <f t="shared" si="12"/>
        <v>668635.85523682856</v>
      </c>
      <c r="H41" s="478">
        <f t="shared" si="13"/>
        <v>668635.85523682856</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3308796.2823643209</v>
      </c>
      <c r="E42" s="510">
        <f t="shared" si="10"/>
        <v>300532.29411764705</v>
      </c>
      <c r="F42" s="511">
        <f t="shared" si="11"/>
        <v>3008263.9882466737</v>
      </c>
      <c r="G42" s="512">
        <f t="shared" si="12"/>
        <v>636654.06538677611</v>
      </c>
      <c r="H42" s="478">
        <f t="shared" si="13"/>
        <v>636654.06538677611</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3008263.9882466737</v>
      </c>
      <c r="E43" s="510">
        <f t="shared" si="10"/>
        <v>300532.29411764705</v>
      </c>
      <c r="F43" s="511">
        <f t="shared" si="11"/>
        <v>2707731.6941290265</v>
      </c>
      <c r="G43" s="512">
        <f t="shared" si="12"/>
        <v>604672.27553672343</v>
      </c>
      <c r="H43" s="478">
        <f t="shared" si="13"/>
        <v>604672.27553672343</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2707731.6941290265</v>
      </c>
      <c r="E44" s="510">
        <f t="shared" si="10"/>
        <v>300532.29411764705</v>
      </c>
      <c r="F44" s="511">
        <f t="shared" si="11"/>
        <v>2407199.4000113793</v>
      </c>
      <c r="G44" s="512">
        <f t="shared" si="12"/>
        <v>572690.48568667099</v>
      </c>
      <c r="H44" s="478">
        <f t="shared" si="13"/>
        <v>572690.48568667099</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2407199.4000113793</v>
      </c>
      <c r="E45" s="510">
        <f t="shared" si="10"/>
        <v>300532.29411764705</v>
      </c>
      <c r="F45" s="511">
        <f t="shared" si="11"/>
        <v>2106667.105893732</v>
      </c>
      <c r="G45" s="512">
        <f t="shared" si="12"/>
        <v>540708.69583661843</v>
      </c>
      <c r="H45" s="478">
        <f t="shared" si="13"/>
        <v>540708.69583661843</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2106667.105893732</v>
      </c>
      <c r="E46" s="510">
        <f t="shared" si="10"/>
        <v>300532.29411764705</v>
      </c>
      <c r="F46" s="511">
        <f t="shared" si="11"/>
        <v>1806134.8117760851</v>
      </c>
      <c r="G46" s="512">
        <f t="shared" si="12"/>
        <v>508726.90598656586</v>
      </c>
      <c r="H46" s="478">
        <f t="shared" si="13"/>
        <v>508726.90598656586</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1806134.8117760851</v>
      </c>
      <c r="E47" s="510">
        <f t="shared" si="10"/>
        <v>300532.29411764705</v>
      </c>
      <c r="F47" s="511">
        <f t="shared" si="11"/>
        <v>1505602.5176584381</v>
      </c>
      <c r="G47" s="512">
        <f t="shared" si="12"/>
        <v>476745.11613651342</v>
      </c>
      <c r="H47" s="478">
        <f t="shared" si="13"/>
        <v>476745.11613651342</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1505602.5176584381</v>
      </c>
      <c r="E48" s="510">
        <f t="shared" si="10"/>
        <v>300532.29411764705</v>
      </c>
      <c r="F48" s="511">
        <f t="shared" si="11"/>
        <v>1205070.2235407911</v>
      </c>
      <c r="G48" s="512">
        <f t="shared" si="12"/>
        <v>444763.32628646086</v>
      </c>
      <c r="H48" s="478">
        <f t="shared" si="13"/>
        <v>444763.32628646086</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1205070.2235407911</v>
      </c>
      <c r="E49" s="510">
        <f t="shared" si="10"/>
        <v>300532.29411764705</v>
      </c>
      <c r="F49" s="511">
        <f t="shared" si="11"/>
        <v>904537.92942314409</v>
      </c>
      <c r="G49" s="512">
        <f t="shared" si="12"/>
        <v>412781.53643640841</v>
      </c>
      <c r="H49" s="478">
        <f t="shared" si="13"/>
        <v>412781.53643640841</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904537.92942314409</v>
      </c>
      <c r="E50" s="510">
        <f t="shared" si="10"/>
        <v>300532.29411764705</v>
      </c>
      <c r="F50" s="511">
        <f t="shared" si="11"/>
        <v>604005.6353054971</v>
      </c>
      <c r="G50" s="512">
        <f t="shared" si="12"/>
        <v>380799.74658635585</v>
      </c>
      <c r="H50" s="478">
        <f t="shared" si="13"/>
        <v>380799.74658635585</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604005.6353054971</v>
      </c>
      <c r="E51" s="510">
        <f t="shared" si="10"/>
        <v>300532.29411764705</v>
      </c>
      <c r="F51" s="511">
        <f t="shared" si="11"/>
        <v>303473.34118785005</v>
      </c>
      <c r="G51" s="512">
        <f t="shared" si="12"/>
        <v>348817.95673630334</v>
      </c>
      <c r="H51" s="478">
        <f t="shared" si="13"/>
        <v>348817.95673630334</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303473.34118785005</v>
      </c>
      <c r="E52" s="510">
        <f t="shared" si="10"/>
        <v>300532.29411764705</v>
      </c>
      <c r="F52" s="511">
        <f t="shared" si="11"/>
        <v>2941.0470702029997</v>
      </c>
      <c r="G52" s="512">
        <f t="shared" si="12"/>
        <v>316836.16688625084</v>
      </c>
      <c r="H52" s="478">
        <f t="shared" si="13"/>
        <v>316836.16688625084</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2941.0470702029997</v>
      </c>
      <c r="E53" s="510">
        <f t="shared" si="10"/>
        <v>2941.0470702029997</v>
      </c>
      <c r="F53" s="511">
        <f t="shared" si="11"/>
        <v>0</v>
      </c>
      <c r="G53" s="512">
        <f t="shared" si="12"/>
        <v>3097.5359919917578</v>
      </c>
      <c r="H53" s="478">
        <f t="shared" si="13"/>
        <v>3097.5359919917578</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0"/>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0"/>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0"/>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0"/>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0"/>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0"/>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0"/>
        <v>0</v>
      </c>
      <c r="F73" s="528">
        <f t="shared" si="11"/>
        <v>0</v>
      </c>
      <c r="G73" s="612">
        <f t="shared" si="12"/>
        <v>0</v>
      </c>
      <c r="H73" s="459">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10218097.999999994</v>
      </c>
      <c r="F74" s="295"/>
      <c r="G74" s="295">
        <f>SUM(G17:G73)</f>
        <v>30754437.279157888</v>
      </c>
      <c r="H74" s="295">
        <f>SUM(H17:H73)</f>
        <v>30754437.279157888</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7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1229743.0760443411</v>
      </c>
      <c r="N88" s="545">
        <f>IF(J93&lt;D11,0,VLOOKUP(J93,C17:O73,11))</f>
        <v>1229743.0760443411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1290413.9410906809</v>
      </c>
      <c r="N89" s="549">
        <f>IF(J93&lt;D11,0,VLOOKUP(J93,C100:P155,7))</f>
        <v>1290413.9410906809</v>
      </c>
      <c r="O89" s="550">
        <f>+N89-M89</f>
        <v>0</v>
      </c>
      <c r="P89" s="244"/>
      <c r="Q89" s="244"/>
      <c r="R89" s="244"/>
      <c r="S89" s="244"/>
      <c r="T89" s="244"/>
      <c r="U89" s="244"/>
    </row>
    <row r="90" spans="1:21" ht="13.5" thickBot="1">
      <c r="C90" s="455" t="s">
        <v>82</v>
      </c>
      <c r="D90" s="551" t="str">
        <f>+D7</f>
        <v xml:space="preserve">Cornville Station Conversion </v>
      </c>
      <c r="E90" s="244"/>
      <c r="F90" s="244"/>
      <c r="G90" s="244"/>
      <c r="H90" s="244"/>
      <c r="I90" s="326"/>
      <c r="J90" s="326"/>
      <c r="K90" s="552"/>
      <c r="L90" s="553" t="s">
        <v>135</v>
      </c>
      <c r="M90" s="554">
        <f>+M89-M88</f>
        <v>60670.865046339808</v>
      </c>
      <c r="N90" s="554">
        <f>+N89-N88</f>
        <v>60670.865046339808</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TP2011093</v>
      </c>
      <c r="E92" s="559"/>
      <c r="F92" s="559"/>
      <c r="G92" s="559"/>
      <c r="H92" s="559"/>
      <c r="I92" s="559"/>
      <c r="J92" s="559"/>
      <c r="K92" s="561"/>
      <c r="P92" s="469"/>
      <c r="Q92" s="244"/>
      <c r="R92" s="244"/>
      <c r="S92" s="244"/>
      <c r="T92" s="244"/>
      <c r="U92" s="244"/>
    </row>
    <row r="93" spans="1:21" ht="13">
      <c r="C93" s="473" t="s">
        <v>49</v>
      </c>
      <c r="D93" s="471">
        <f>IF(D11=I10,0,D10)</f>
        <v>10218098</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10</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364932.07142857142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5">IF(D100=F99,"","IU")</f>
        <v>IU</v>
      </c>
      <c r="C100" s="496">
        <f>IF(D94= "","-",D94)</f>
        <v>2014</v>
      </c>
      <c r="D100" s="613">
        <v>0</v>
      </c>
      <c r="E100" s="614">
        <v>102248.51895114942</v>
      </c>
      <c r="F100" s="615">
        <v>10064175.65104885</v>
      </c>
      <c r="G100" s="616">
        <v>5032087.8255244251</v>
      </c>
      <c r="H100" s="616">
        <v>643416.4924496013</v>
      </c>
      <c r="I100" s="616">
        <v>643416.4924496013</v>
      </c>
      <c r="J100" s="617">
        <v>0</v>
      </c>
      <c r="K100" s="505"/>
      <c r="L100" s="507">
        <f t="shared" ref="L100:L105" si="16">H100</f>
        <v>643416.4924496013</v>
      </c>
      <c r="M100" s="505">
        <f t="shared" ref="M100:M105" si="17">IF(L100&lt;&gt;0,+H100-L100,0)</f>
        <v>0</v>
      </c>
      <c r="N100" s="507">
        <f t="shared" ref="N100:N105" si="18">I100</f>
        <v>643416.4924496013</v>
      </c>
      <c r="O100" s="505">
        <f>IF(N100&lt;&gt;0,+I100-N100,0)</f>
        <v>0</v>
      </c>
      <c r="P100" s="505">
        <f>+O100-M100</f>
        <v>0</v>
      </c>
      <c r="Q100" s="244"/>
      <c r="R100" s="244"/>
      <c r="S100" s="244"/>
      <c r="T100" s="244"/>
      <c r="U100" s="244"/>
    </row>
    <row r="101" spans="1:21" ht="12.5">
      <c r="B101" s="145" t="str">
        <f t="shared" si="15"/>
        <v>IU</v>
      </c>
      <c r="C101" s="496">
        <f>IF(D94="","-",+C100+1)</f>
        <v>2015</v>
      </c>
      <c r="D101" s="618">
        <v>10115489.48104885</v>
      </c>
      <c r="E101" s="618">
        <v>212869.54166666666</v>
      </c>
      <c r="F101" s="618">
        <v>9902619.9393821843</v>
      </c>
      <c r="G101" s="618">
        <v>10009054.710215516</v>
      </c>
      <c r="H101" s="618">
        <v>1327171.8833094309</v>
      </c>
      <c r="I101" s="618">
        <v>1327171.8833094309</v>
      </c>
      <c r="J101" s="618">
        <v>0</v>
      </c>
      <c r="K101" s="505"/>
      <c r="L101" s="507">
        <f t="shared" si="16"/>
        <v>1327171.8833094309</v>
      </c>
      <c r="M101" s="505">
        <f t="shared" si="17"/>
        <v>0</v>
      </c>
      <c r="N101" s="507">
        <f t="shared" si="18"/>
        <v>1327171.8833094309</v>
      </c>
      <c r="O101" s="505">
        <f t="shared" ref="O101:O131" si="19">IF(N101&lt;&gt;0,+I101-N101,0)</f>
        <v>0</v>
      </c>
      <c r="P101" s="505">
        <f t="shared" ref="P101:P131" si="20">+O101-M101</f>
        <v>0</v>
      </c>
      <c r="Q101" s="244"/>
      <c r="R101" s="244"/>
      <c r="S101" s="244"/>
      <c r="T101" s="244"/>
      <c r="U101" s="244"/>
    </row>
    <row r="102" spans="1:21" ht="12.5">
      <c r="B102" s="145" t="str">
        <f t="shared" si="15"/>
        <v>IU</v>
      </c>
      <c r="C102" s="496">
        <f>IF(D94="","-",+C101+1)</f>
        <v>2016</v>
      </c>
      <c r="D102" s="618">
        <v>9902979.9393821843</v>
      </c>
      <c r="E102" s="618">
        <v>200354.86274509804</v>
      </c>
      <c r="F102" s="618">
        <v>9702625.0766370855</v>
      </c>
      <c r="G102" s="618">
        <v>9802802.5080096349</v>
      </c>
      <c r="H102" s="618">
        <v>1262679.2712885526</v>
      </c>
      <c r="I102" s="618">
        <v>1262679.2712885526</v>
      </c>
      <c r="J102" s="505">
        <f t="shared" ref="J102:J155" si="21">+I102-H102</f>
        <v>0</v>
      </c>
      <c r="K102" s="505"/>
      <c r="L102" s="507">
        <f t="shared" si="16"/>
        <v>1262679.2712885526</v>
      </c>
      <c r="M102" s="505">
        <f t="shared" si="17"/>
        <v>0</v>
      </c>
      <c r="N102" s="507">
        <f t="shared" si="18"/>
        <v>1262679.2712885526</v>
      </c>
      <c r="O102" s="505">
        <f>IF(N102&lt;&gt;0,+I102-N102,0)</f>
        <v>0</v>
      </c>
      <c r="P102" s="505">
        <f>+O102-M102</f>
        <v>0</v>
      </c>
      <c r="Q102" s="244"/>
      <c r="R102" s="244"/>
      <c r="S102" s="244"/>
      <c r="T102" s="244"/>
      <c r="U102" s="244"/>
    </row>
    <row r="103" spans="1:21" ht="12.5">
      <c r="B103" s="145" t="str">
        <f t="shared" si="15"/>
        <v/>
      </c>
      <c r="C103" s="496">
        <f>IF(D94="","-",+C102+1)</f>
        <v>2017</v>
      </c>
      <c r="D103" s="618">
        <v>9702625.0766370855</v>
      </c>
      <c r="E103" s="618">
        <v>255452.45</v>
      </c>
      <c r="F103" s="618">
        <v>9447172.6266370863</v>
      </c>
      <c r="G103" s="618">
        <v>9574898.8516370859</v>
      </c>
      <c r="H103" s="618">
        <v>1378931.4814948814</v>
      </c>
      <c r="I103" s="618">
        <v>1378931.4814948814</v>
      </c>
      <c r="J103" s="505">
        <f t="shared" si="21"/>
        <v>0</v>
      </c>
      <c r="K103" s="505"/>
      <c r="L103" s="507">
        <f t="shared" si="16"/>
        <v>1378931.4814948814</v>
      </c>
      <c r="M103" s="505">
        <f t="shared" si="17"/>
        <v>0</v>
      </c>
      <c r="N103" s="507">
        <f t="shared" si="18"/>
        <v>1378931.4814948814</v>
      </c>
      <c r="O103" s="505">
        <f>IF(N103&lt;&gt;0,+I103-N103,0)</f>
        <v>0</v>
      </c>
      <c r="P103" s="505">
        <f>+O103-M103</f>
        <v>0</v>
      </c>
      <c r="Q103" s="244"/>
      <c r="R103" s="244"/>
      <c r="S103" s="244"/>
      <c r="T103" s="244"/>
      <c r="U103" s="244"/>
    </row>
    <row r="104" spans="1:21" ht="12.5">
      <c r="B104" s="145" t="str">
        <f t="shared" si="15"/>
        <v/>
      </c>
      <c r="C104" s="496">
        <f>IF(D94="","-",+C103+1)</f>
        <v>2018</v>
      </c>
      <c r="D104" s="618">
        <v>9447172.6266370863</v>
      </c>
      <c r="E104" s="618">
        <v>283836.05555555556</v>
      </c>
      <c r="F104" s="618">
        <v>9163336.5710815303</v>
      </c>
      <c r="G104" s="618">
        <v>9305254.5988593083</v>
      </c>
      <c r="H104" s="618">
        <v>1266121.5205016474</v>
      </c>
      <c r="I104" s="618">
        <v>1266121.5205016474</v>
      </c>
      <c r="J104" s="505">
        <f t="shared" si="21"/>
        <v>0</v>
      </c>
      <c r="K104" s="505"/>
      <c r="L104" s="507">
        <f t="shared" si="16"/>
        <v>1266121.5205016474</v>
      </c>
      <c r="M104" s="505">
        <f t="shared" si="17"/>
        <v>0</v>
      </c>
      <c r="N104" s="507">
        <f t="shared" si="18"/>
        <v>1266121.5205016474</v>
      </c>
      <c r="O104" s="505">
        <f>IF(N104&lt;&gt;0,+I104-N104,0)</f>
        <v>0</v>
      </c>
      <c r="P104" s="505">
        <f>+O104-M104</f>
        <v>0</v>
      </c>
      <c r="Q104" s="244"/>
      <c r="R104" s="244"/>
      <c r="S104" s="244"/>
      <c r="T104" s="244"/>
      <c r="U104" s="244"/>
    </row>
    <row r="105" spans="1:21" ht="12.5">
      <c r="B105" s="145" t="str">
        <f t="shared" si="15"/>
        <v/>
      </c>
      <c r="C105" s="496">
        <f>IF(D94="","-",+C104+1)</f>
        <v>2019</v>
      </c>
      <c r="D105" s="618">
        <v>9163336.5710815303</v>
      </c>
      <c r="E105" s="618">
        <v>283836.05555555556</v>
      </c>
      <c r="F105" s="618">
        <v>8879500.5155259743</v>
      </c>
      <c r="G105" s="618">
        <v>9021418.5433037523</v>
      </c>
      <c r="H105" s="618">
        <v>1236159.0913345795</v>
      </c>
      <c r="I105" s="618">
        <v>1236159.0913345795</v>
      </c>
      <c r="J105" s="505">
        <f t="shared" si="21"/>
        <v>0</v>
      </c>
      <c r="K105" s="505"/>
      <c r="L105" s="507">
        <f t="shared" si="16"/>
        <v>1236159.0913345795</v>
      </c>
      <c r="M105" s="505">
        <f t="shared" si="17"/>
        <v>0</v>
      </c>
      <c r="N105" s="507">
        <f t="shared" si="18"/>
        <v>1236159.0913345795</v>
      </c>
      <c r="O105" s="505">
        <f>IF(N105&lt;&gt;0,+I105-N105,0)</f>
        <v>0</v>
      </c>
      <c r="P105" s="505">
        <f t="shared" si="20"/>
        <v>0</v>
      </c>
      <c r="Q105" s="244"/>
      <c r="R105" s="244"/>
      <c r="S105" s="244"/>
      <c r="T105" s="244"/>
      <c r="U105" s="244"/>
    </row>
    <row r="106" spans="1:21" ht="12.5">
      <c r="B106" s="145" t="str">
        <f t="shared" si="15"/>
        <v/>
      </c>
      <c r="C106" s="496">
        <f>IF(D94="","-",+C105+1)</f>
        <v>2020</v>
      </c>
      <c r="D106" s="350">
        <f>IF(F105+SUM(E$100:E105)=D$93,F105,D$93-SUM(E$100:E105))</f>
        <v>8879500.5155259743</v>
      </c>
      <c r="E106" s="510">
        <f t="shared" ref="E106:E155" si="22">IF(+$J$97&lt;F105,$J$97,D106)</f>
        <v>364932.07142857142</v>
      </c>
      <c r="F106" s="511">
        <f t="shared" ref="F106:F155" si="23">+D106-E106</f>
        <v>8514568.4440974034</v>
      </c>
      <c r="G106" s="511">
        <f t="shared" ref="G106:G155" si="24">+(F106+D106)/2</f>
        <v>8697034.4798116889</v>
      </c>
      <c r="H106" s="646">
        <f>(D106+F106)/2*J$95+E106</f>
        <v>1290413.9410906809</v>
      </c>
      <c r="I106" s="573">
        <f t="shared" ref="I106:I155" si="25">+J$96*G106+E106</f>
        <v>1290413.9410906809</v>
      </c>
      <c r="J106" s="505">
        <f t="shared" si="21"/>
        <v>0</v>
      </c>
      <c r="K106" s="505"/>
      <c r="L106" s="513"/>
      <c r="M106" s="505">
        <f t="shared" ref="M106:M131" si="26">IF(L106&lt;&gt;0,+H106-L106,0)</f>
        <v>0</v>
      </c>
      <c r="N106" s="513"/>
      <c r="O106" s="505">
        <f t="shared" si="19"/>
        <v>0</v>
      </c>
      <c r="P106" s="505">
        <f t="shared" si="20"/>
        <v>0</v>
      </c>
      <c r="Q106" s="244"/>
      <c r="R106" s="244"/>
      <c r="S106" s="244"/>
      <c r="T106" s="244"/>
      <c r="U106" s="244"/>
    </row>
    <row r="107" spans="1:21" ht="12.5">
      <c r="B107" s="145" t="str">
        <f t="shared" si="15"/>
        <v/>
      </c>
      <c r="C107" s="496">
        <f>IF(D94="","-",+C106+1)</f>
        <v>2021</v>
      </c>
      <c r="D107" s="350">
        <f>IF(F106+SUM(E$100:E106)=D$93,F106,D$93-SUM(E$100:E106))</f>
        <v>8514568.4440974034</v>
      </c>
      <c r="E107" s="510">
        <f t="shared" si="22"/>
        <v>364932.07142857142</v>
      </c>
      <c r="F107" s="511">
        <f t="shared" si="23"/>
        <v>8149636.3726688316</v>
      </c>
      <c r="G107" s="511">
        <f t="shared" si="24"/>
        <v>8332102.408383118</v>
      </c>
      <c r="H107" s="646">
        <f t="shared" ref="H107:H155" si="27">(D107+F107)/2*J$95+E107</f>
        <v>1251580.2424834871</v>
      </c>
      <c r="I107" s="573">
        <f t="shared" si="25"/>
        <v>1251580.2424834871</v>
      </c>
      <c r="J107" s="505">
        <f t="shared" si="21"/>
        <v>0</v>
      </c>
      <c r="K107" s="505"/>
      <c r="L107" s="513"/>
      <c r="M107" s="505">
        <f t="shared" si="26"/>
        <v>0</v>
      </c>
      <c r="N107" s="513"/>
      <c r="O107" s="505">
        <f t="shared" si="19"/>
        <v>0</v>
      </c>
      <c r="P107" s="505">
        <f t="shared" si="20"/>
        <v>0</v>
      </c>
      <c r="Q107" s="244"/>
      <c r="R107" s="244"/>
      <c r="S107" s="244"/>
      <c r="T107" s="244"/>
      <c r="U107" s="244"/>
    </row>
    <row r="108" spans="1:21" ht="12.5">
      <c r="B108" s="145" t="str">
        <f t="shared" si="15"/>
        <v/>
      </c>
      <c r="C108" s="496">
        <f>IF(D94="","-",+C107+1)</f>
        <v>2022</v>
      </c>
      <c r="D108" s="350">
        <f>IF(F107+SUM(E$100:E107)=D$93,F107,D$93-SUM(E$100:E107))</f>
        <v>8149636.3726688316</v>
      </c>
      <c r="E108" s="510">
        <f t="shared" si="22"/>
        <v>364932.07142857142</v>
      </c>
      <c r="F108" s="511">
        <f t="shared" si="23"/>
        <v>7784704.3012402598</v>
      </c>
      <c r="G108" s="511">
        <f t="shared" si="24"/>
        <v>7967170.3369545452</v>
      </c>
      <c r="H108" s="646">
        <f t="shared" si="27"/>
        <v>1212746.5438762929</v>
      </c>
      <c r="I108" s="573">
        <f t="shared" si="25"/>
        <v>1212746.5438762929</v>
      </c>
      <c r="J108" s="505">
        <f t="shared" si="21"/>
        <v>0</v>
      </c>
      <c r="K108" s="505"/>
      <c r="L108" s="513"/>
      <c r="M108" s="505">
        <f t="shared" si="26"/>
        <v>0</v>
      </c>
      <c r="N108" s="513"/>
      <c r="O108" s="505">
        <f t="shared" si="19"/>
        <v>0</v>
      </c>
      <c r="P108" s="505">
        <f t="shared" si="20"/>
        <v>0</v>
      </c>
      <c r="Q108" s="244"/>
      <c r="R108" s="244"/>
      <c r="S108" s="244"/>
      <c r="T108" s="244"/>
      <c r="U108" s="244"/>
    </row>
    <row r="109" spans="1:21" ht="12.5">
      <c r="B109" s="145" t="str">
        <f t="shared" si="15"/>
        <v/>
      </c>
      <c r="C109" s="496">
        <f>IF(D94="","-",+C108+1)</f>
        <v>2023</v>
      </c>
      <c r="D109" s="350">
        <f>IF(F108+SUM(E$100:E108)=D$93,F108,D$93-SUM(E$100:E108))</f>
        <v>7784704.3012402598</v>
      </c>
      <c r="E109" s="510">
        <f t="shared" si="22"/>
        <v>364932.07142857142</v>
      </c>
      <c r="F109" s="511">
        <f t="shared" si="23"/>
        <v>7419772.229811688</v>
      </c>
      <c r="G109" s="511">
        <f t="shared" si="24"/>
        <v>7602238.2655259743</v>
      </c>
      <c r="H109" s="646">
        <f t="shared" si="27"/>
        <v>1173912.8452690991</v>
      </c>
      <c r="I109" s="573">
        <f t="shared" si="25"/>
        <v>1173912.8452690991</v>
      </c>
      <c r="J109" s="505">
        <f t="shared" si="21"/>
        <v>0</v>
      </c>
      <c r="K109" s="505"/>
      <c r="L109" s="513"/>
      <c r="M109" s="505">
        <f t="shared" si="26"/>
        <v>0</v>
      </c>
      <c r="N109" s="513"/>
      <c r="O109" s="505">
        <f t="shared" si="19"/>
        <v>0</v>
      </c>
      <c r="P109" s="505">
        <f t="shared" si="20"/>
        <v>0</v>
      </c>
      <c r="Q109" s="244"/>
      <c r="R109" s="244"/>
      <c r="S109" s="244"/>
      <c r="T109" s="244"/>
      <c r="U109" s="244"/>
    </row>
    <row r="110" spans="1:21" ht="12.5">
      <c r="B110" s="145" t="str">
        <f t="shared" si="15"/>
        <v/>
      </c>
      <c r="C110" s="496">
        <f>IF(D94="","-",+C109+1)</f>
        <v>2024</v>
      </c>
      <c r="D110" s="350">
        <f>IF(F109+SUM(E$100:E109)=D$93,F109,D$93-SUM(E$100:E109))</f>
        <v>7419772.229811688</v>
      </c>
      <c r="E110" s="510">
        <f t="shared" si="22"/>
        <v>364932.07142857142</v>
      </c>
      <c r="F110" s="511">
        <f t="shared" si="23"/>
        <v>7054840.1583831161</v>
      </c>
      <c r="G110" s="511">
        <f t="shared" si="24"/>
        <v>7237306.1940974016</v>
      </c>
      <c r="H110" s="646">
        <f t="shared" si="27"/>
        <v>1135079.1466619051</v>
      </c>
      <c r="I110" s="573">
        <f t="shared" si="25"/>
        <v>1135079.1466619051</v>
      </c>
      <c r="J110" s="505">
        <f t="shared" si="21"/>
        <v>0</v>
      </c>
      <c r="K110" s="505"/>
      <c r="L110" s="513"/>
      <c r="M110" s="505">
        <f t="shared" si="26"/>
        <v>0</v>
      </c>
      <c r="N110" s="513"/>
      <c r="O110" s="505">
        <f t="shared" si="19"/>
        <v>0</v>
      </c>
      <c r="P110" s="505">
        <f t="shared" si="20"/>
        <v>0</v>
      </c>
      <c r="Q110" s="244"/>
      <c r="R110" s="244"/>
      <c r="S110" s="244"/>
      <c r="T110" s="244"/>
      <c r="U110" s="244"/>
    </row>
    <row r="111" spans="1:21" ht="12.5">
      <c r="B111" s="145" t="str">
        <f t="shared" si="15"/>
        <v/>
      </c>
      <c r="C111" s="496">
        <f>IF(D94="","-",+C110+1)</f>
        <v>2025</v>
      </c>
      <c r="D111" s="350">
        <f>IF(F110+SUM(E$100:E110)=D$93,F110,D$93-SUM(E$100:E110))</f>
        <v>7054840.1583831161</v>
      </c>
      <c r="E111" s="510">
        <f t="shared" si="22"/>
        <v>364932.07142857142</v>
      </c>
      <c r="F111" s="511">
        <f t="shared" si="23"/>
        <v>6689908.0869545443</v>
      </c>
      <c r="G111" s="511">
        <f t="shared" si="24"/>
        <v>6872374.1226688307</v>
      </c>
      <c r="H111" s="646">
        <f t="shared" si="27"/>
        <v>1096245.4480547111</v>
      </c>
      <c r="I111" s="573">
        <f t="shared" si="25"/>
        <v>1096245.4480547111</v>
      </c>
      <c r="J111" s="505">
        <f t="shared" si="21"/>
        <v>0</v>
      </c>
      <c r="K111" s="505"/>
      <c r="L111" s="513"/>
      <c r="M111" s="505">
        <f t="shared" si="26"/>
        <v>0</v>
      </c>
      <c r="N111" s="513"/>
      <c r="O111" s="505">
        <f t="shared" si="19"/>
        <v>0</v>
      </c>
      <c r="P111" s="505">
        <f t="shared" si="20"/>
        <v>0</v>
      </c>
      <c r="Q111" s="244"/>
      <c r="R111" s="244"/>
      <c r="S111" s="244"/>
      <c r="T111" s="244"/>
      <c r="U111" s="244"/>
    </row>
    <row r="112" spans="1:21" ht="12.5">
      <c r="B112" s="145" t="str">
        <f t="shared" si="15"/>
        <v/>
      </c>
      <c r="C112" s="496">
        <f>IF(D94="","-",+C111+1)</f>
        <v>2026</v>
      </c>
      <c r="D112" s="350">
        <f>IF(F111+SUM(E$100:E111)=D$93,F111,D$93-SUM(E$100:E111))</f>
        <v>6689908.0869545443</v>
      </c>
      <c r="E112" s="510">
        <f t="shared" si="22"/>
        <v>364932.07142857142</v>
      </c>
      <c r="F112" s="511">
        <f t="shared" si="23"/>
        <v>6324976.0155259725</v>
      </c>
      <c r="G112" s="511">
        <f t="shared" si="24"/>
        <v>6507442.0512402579</v>
      </c>
      <c r="H112" s="646">
        <f t="shared" si="27"/>
        <v>1057411.7494475171</v>
      </c>
      <c r="I112" s="573">
        <f t="shared" si="25"/>
        <v>1057411.7494475171</v>
      </c>
      <c r="J112" s="505">
        <f t="shared" si="21"/>
        <v>0</v>
      </c>
      <c r="K112" s="505"/>
      <c r="L112" s="513"/>
      <c r="M112" s="505">
        <f t="shared" si="26"/>
        <v>0</v>
      </c>
      <c r="N112" s="513"/>
      <c r="O112" s="505">
        <f t="shared" si="19"/>
        <v>0</v>
      </c>
      <c r="P112" s="505">
        <f t="shared" si="20"/>
        <v>0</v>
      </c>
      <c r="Q112" s="244"/>
      <c r="R112" s="244"/>
      <c r="S112" s="244"/>
      <c r="T112" s="244"/>
      <c r="U112" s="244"/>
    </row>
    <row r="113" spans="2:21" ht="12.5">
      <c r="B113" s="145" t="str">
        <f t="shared" si="15"/>
        <v/>
      </c>
      <c r="C113" s="496">
        <f>IF(D94="","-",+C112+1)</f>
        <v>2027</v>
      </c>
      <c r="D113" s="350">
        <f>IF(F112+SUM(E$100:E112)=D$93,F112,D$93-SUM(E$100:E112))</f>
        <v>6324976.0155259725</v>
      </c>
      <c r="E113" s="510">
        <f t="shared" si="22"/>
        <v>364932.07142857142</v>
      </c>
      <c r="F113" s="511">
        <f t="shared" si="23"/>
        <v>5960043.9440974006</v>
      </c>
      <c r="G113" s="511">
        <f t="shared" si="24"/>
        <v>6142509.979811687</v>
      </c>
      <c r="H113" s="646">
        <f t="shared" si="27"/>
        <v>1018578.0508403231</v>
      </c>
      <c r="I113" s="573">
        <f t="shared" si="25"/>
        <v>1018578.0508403231</v>
      </c>
      <c r="J113" s="505">
        <f t="shared" si="21"/>
        <v>0</v>
      </c>
      <c r="K113" s="505"/>
      <c r="L113" s="513"/>
      <c r="M113" s="505">
        <f t="shared" si="26"/>
        <v>0</v>
      </c>
      <c r="N113" s="513"/>
      <c r="O113" s="505">
        <f t="shared" si="19"/>
        <v>0</v>
      </c>
      <c r="P113" s="505">
        <f t="shared" si="20"/>
        <v>0</v>
      </c>
      <c r="Q113" s="244"/>
      <c r="R113" s="244"/>
      <c r="S113" s="244"/>
      <c r="T113" s="244"/>
      <c r="U113" s="244"/>
    </row>
    <row r="114" spans="2:21" ht="12.5">
      <c r="B114" s="145" t="str">
        <f t="shared" si="15"/>
        <v/>
      </c>
      <c r="C114" s="496">
        <f>IF(D94="","-",+C113+1)</f>
        <v>2028</v>
      </c>
      <c r="D114" s="350">
        <f>IF(F113+SUM(E$100:E113)=D$93,F113,D$93-SUM(E$100:E113))</f>
        <v>5960043.9440974006</v>
      </c>
      <c r="E114" s="510">
        <f t="shared" si="22"/>
        <v>364932.07142857142</v>
      </c>
      <c r="F114" s="511">
        <f t="shared" si="23"/>
        <v>5595111.8726688288</v>
      </c>
      <c r="G114" s="511">
        <f t="shared" si="24"/>
        <v>5777577.9083831143</v>
      </c>
      <c r="H114" s="646">
        <f t="shared" si="27"/>
        <v>979744.35223312909</v>
      </c>
      <c r="I114" s="573">
        <f t="shared" si="25"/>
        <v>979744.35223312909</v>
      </c>
      <c r="J114" s="505">
        <f t="shared" si="21"/>
        <v>0</v>
      </c>
      <c r="K114" s="505"/>
      <c r="L114" s="513"/>
      <c r="M114" s="505">
        <f t="shared" si="26"/>
        <v>0</v>
      </c>
      <c r="N114" s="513"/>
      <c r="O114" s="505">
        <f t="shared" si="19"/>
        <v>0</v>
      </c>
      <c r="P114" s="505">
        <f t="shared" si="20"/>
        <v>0</v>
      </c>
      <c r="Q114" s="244"/>
      <c r="R114" s="244"/>
      <c r="S114" s="244"/>
      <c r="T114" s="244"/>
      <c r="U114" s="244"/>
    </row>
    <row r="115" spans="2:21" ht="12.5">
      <c r="B115" s="145" t="str">
        <f t="shared" si="15"/>
        <v/>
      </c>
      <c r="C115" s="496">
        <f>IF(D94="","-",+C114+1)</f>
        <v>2029</v>
      </c>
      <c r="D115" s="350">
        <f>IF(F114+SUM(E$100:E114)=D$93,F114,D$93-SUM(E$100:E114))</f>
        <v>5595111.8726688288</v>
      </c>
      <c r="E115" s="510">
        <f t="shared" si="22"/>
        <v>364932.07142857142</v>
      </c>
      <c r="F115" s="511">
        <f t="shared" si="23"/>
        <v>5230179.801240257</v>
      </c>
      <c r="G115" s="511">
        <f t="shared" si="24"/>
        <v>5412645.8369545434</v>
      </c>
      <c r="H115" s="646">
        <f t="shared" si="27"/>
        <v>940910.65362593532</v>
      </c>
      <c r="I115" s="573">
        <f t="shared" si="25"/>
        <v>940910.65362593532</v>
      </c>
      <c r="J115" s="505">
        <f t="shared" si="21"/>
        <v>0</v>
      </c>
      <c r="K115" s="505"/>
      <c r="L115" s="513"/>
      <c r="M115" s="505">
        <f t="shared" si="26"/>
        <v>0</v>
      </c>
      <c r="N115" s="513"/>
      <c r="O115" s="505">
        <f t="shared" si="19"/>
        <v>0</v>
      </c>
      <c r="P115" s="505">
        <f t="shared" si="20"/>
        <v>0</v>
      </c>
      <c r="Q115" s="244"/>
      <c r="R115" s="244"/>
      <c r="S115" s="244"/>
      <c r="T115" s="244"/>
      <c r="U115" s="244"/>
    </row>
    <row r="116" spans="2:21" ht="12.5">
      <c r="B116" s="145" t="str">
        <f t="shared" si="15"/>
        <v/>
      </c>
      <c r="C116" s="496">
        <f>IF(D94="","-",+C115+1)</f>
        <v>2030</v>
      </c>
      <c r="D116" s="350">
        <f>IF(F115+SUM(E$100:E115)=D$93,F115,D$93-SUM(E$100:E115))</f>
        <v>5230179.801240257</v>
      </c>
      <c r="E116" s="510">
        <f t="shared" si="22"/>
        <v>364932.07142857142</v>
      </c>
      <c r="F116" s="511">
        <f t="shared" si="23"/>
        <v>4865247.7298116852</v>
      </c>
      <c r="G116" s="511">
        <f t="shared" si="24"/>
        <v>5047713.7655259706</v>
      </c>
      <c r="H116" s="646">
        <f t="shared" si="27"/>
        <v>902076.95501874108</v>
      </c>
      <c r="I116" s="573">
        <f t="shared" si="25"/>
        <v>902076.95501874108</v>
      </c>
      <c r="J116" s="505">
        <f t="shared" si="21"/>
        <v>0</v>
      </c>
      <c r="K116" s="505"/>
      <c r="L116" s="513"/>
      <c r="M116" s="505">
        <f t="shared" si="26"/>
        <v>0</v>
      </c>
      <c r="N116" s="513"/>
      <c r="O116" s="505">
        <f t="shared" si="19"/>
        <v>0</v>
      </c>
      <c r="P116" s="505">
        <f t="shared" si="20"/>
        <v>0</v>
      </c>
      <c r="Q116" s="244"/>
      <c r="R116" s="244"/>
      <c r="S116" s="244"/>
      <c r="T116" s="244"/>
      <c r="U116" s="244"/>
    </row>
    <row r="117" spans="2:21" ht="12.5">
      <c r="B117" s="145" t="str">
        <f t="shared" si="15"/>
        <v/>
      </c>
      <c r="C117" s="496">
        <f>IF(D94="","-",+C116+1)</f>
        <v>2031</v>
      </c>
      <c r="D117" s="350">
        <f>IF(F116+SUM(E$100:E116)=D$93,F116,D$93-SUM(E$100:E116))</f>
        <v>4865247.7298116852</v>
      </c>
      <c r="E117" s="510">
        <f t="shared" si="22"/>
        <v>364932.07142857142</v>
      </c>
      <c r="F117" s="511">
        <f t="shared" si="23"/>
        <v>4500315.6583831133</v>
      </c>
      <c r="G117" s="511">
        <f t="shared" si="24"/>
        <v>4682781.6940973997</v>
      </c>
      <c r="H117" s="646">
        <f t="shared" si="27"/>
        <v>863243.25641154731</v>
      </c>
      <c r="I117" s="573">
        <f t="shared" si="25"/>
        <v>863243.25641154731</v>
      </c>
      <c r="J117" s="505">
        <f t="shared" si="21"/>
        <v>0</v>
      </c>
      <c r="K117" s="505"/>
      <c r="L117" s="513"/>
      <c r="M117" s="505">
        <f t="shared" si="26"/>
        <v>0</v>
      </c>
      <c r="N117" s="513"/>
      <c r="O117" s="505">
        <f t="shared" si="19"/>
        <v>0</v>
      </c>
      <c r="P117" s="505">
        <f t="shared" si="20"/>
        <v>0</v>
      </c>
      <c r="Q117" s="244"/>
      <c r="R117" s="244"/>
      <c r="S117" s="244"/>
      <c r="T117" s="244"/>
      <c r="U117" s="244"/>
    </row>
    <row r="118" spans="2:21" ht="12.5">
      <c r="B118" s="145" t="str">
        <f t="shared" si="15"/>
        <v/>
      </c>
      <c r="C118" s="496">
        <f>IF(D94="","-",+C117+1)</f>
        <v>2032</v>
      </c>
      <c r="D118" s="350">
        <f>IF(F117+SUM(E$100:E117)=D$93,F117,D$93-SUM(E$100:E117))</f>
        <v>4500315.6583831133</v>
      </c>
      <c r="E118" s="510">
        <f t="shared" si="22"/>
        <v>364932.07142857142</v>
      </c>
      <c r="F118" s="511">
        <f t="shared" si="23"/>
        <v>4135383.586954542</v>
      </c>
      <c r="G118" s="511">
        <f t="shared" si="24"/>
        <v>4317849.6226688279</v>
      </c>
      <c r="H118" s="646">
        <f t="shared" si="27"/>
        <v>824409.5578043533</v>
      </c>
      <c r="I118" s="573">
        <f t="shared" si="25"/>
        <v>824409.5578043533</v>
      </c>
      <c r="J118" s="505">
        <f t="shared" si="21"/>
        <v>0</v>
      </c>
      <c r="K118" s="505"/>
      <c r="L118" s="513"/>
      <c r="M118" s="505">
        <f t="shared" si="26"/>
        <v>0</v>
      </c>
      <c r="N118" s="513"/>
      <c r="O118" s="505">
        <f t="shared" si="19"/>
        <v>0</v>
      </c>
      <c r="P118" s="505">
        <f t="shared" si="20"/>
        <v>0</v>
      </c>
      <c r="Q118" s="244"/>
      <c r="R118" s="244"/>
      <c r="S118" s="244"/>
      <c r="T118" s="244"/>
      <c r="U118" s="244"/>
    </row>
    <row r="119" spans="2:21" ht="12.5">
      <c r="B119" s="145" t="str">
        <f t="shared" si="15"/>
        <v/>
      </c>
      <c r="C119" s="496">
        <f>IF(D94="","-",+C118+1)</f>
        <v>2033</v>
      </c>
      <c r="D119" s="350">
        <f>IF(F118+SUM(E$100:E118)=D$93,F118,D$93-SUM(E$100:E118))</f>
        <v>4135383.586954542</v>
      </c>
      <c r="E119" s="510">
        <f t="shared" si="22"/>
        <v>364932.07142857142</v>
      </c>
      <c r="F119" s="511">
        <f t="shared" si="23"/>
        <v>3770451.5155259706</v>
      </c>
      <c r="G119" s="511">
        <f t="shared" si="24"/>
        <v>3952917.5512402561</v>
      </c>
      <c r="H119" s="646">
        <f t="shared" si="27"/>
        <v>785575.8591971593</v>
      </c>
      <c r="I119" s="573">
        <f t="shared" si="25"/>
        <v>785575.8591971593</v>
      </c>
      <c r="J119" s="505">
        <f t="shared" si="21"/>
        <v>0</v>
      </c>
      <c r="K119" s="505"/>
      <c r="L119" s="513"/>
      <c r="M119" s="505">
        <f t="shared" si="26"/>
        <v>0</v>
      </c>
      <c r="N119" s="513"/>
      <c r="O119" s="505">
        <f t="shared" si="19"/>
        <v>0</v>
      </c>
      <c r="P119" s="505">
        <f t="shared" si="20"/>
        <v>0</v>
      </c>
      <c r="Q119" s="244"/>
      <c r="R119" s="244"/>
      <c r="S119" s="244"/>
      <c r="T119" s="244"/>
      <c r="U119" s="244"/>
    </row>
    <row r="120" spans="2:21" ht="12.5">
      <c r="B120" s="145" t="str">
        <f t="shared" si="15"/>
        <v/>
      </c>
      <c r="C120" s="496">
        <f>IF(D94="","-",+C119+1)</f>
        <v>2034</v>
      </c>
      <c r="D120" s="350">
        <f>IF(F119+SUM(E$100:E119)=D$93,F119,D$93-SUM(E$100:E119))</f>
        <v>3770451.5155259706</v>
      </c>
      <c r="E120" s="510">
        <f t="shared" si="22"/>
        <v>364932.07142857142</v>
      </c>
      <c r="F120" s="511">
        <f t="shared" si="23"/>
        <v>3405519.4440973992</v>
      </c>
      <c r="G120" s="511">
        <f t="shared" si="24"/>
        <v>3587985.4798116852</v>
      </c>
      <c r="H120" s="646">
        <f t="shared" si="27"/>
        <v>746742.16058996553</v>
      </c>
      <c r="I120" s="573">
        <f t="shared" si="25"/>
        <v>746742.16058996553</v>
      </c>
      <c r="J120" s="505">
        <f t="shared" si="21"/>
        <v>0</v>
      </c>
      <c r="K120" s="505"/>
      <c r="L120" s="513"/>
      <c r="M120" s="505">
        <f t="shared" si="26"/>
        <v>0</v>
      </c>
      <c r="N120" s="513"/>
      <c r="O120" s="505">
        <f t="shared" si="19"/>
        <v>0</v>
      </c>
      <c r="P120" s="505">
        <f t="shared" si="20"/>
        <v>0</v>
      </c>
      <c r="Q120" s="244"/>
      <c r="R120" s="244"/>
      <c r="S120" s="244"/>
      <c r="T120" s="244"/>
      <c r="U120" s="244"/>
    </row>
    <row r="121" spans="2:21" ht="12.5">
      <c r="B121" s="145" t="str">
        <f t="shared" si="15"/>
        <v/>
      </c>
      <c r="C121" s="496">
        <f>IF(D94="","-",+C120+1)</f>
        <v>2035</v>
      </c>
      <c r="D121" s="350">
        <f>IF(F120+SUM(E$100:E120)=D$93,F120,D$93-SUM(E$100:E120))</f>
        <v>3405519.4440973992</v>
      </c>
      <c r="E121" s="510">
        <f t="shared" si="22"/>
        <v>364932.07142857142</v>
      </c>
      <c r="F121" s="511">
        <f t="shared" si="23"/>
        <v>3040587.3726688279</v>
      </c>
      <c r="G121" s="511">
        <f t="shared" si="24"/>
        <v>3223053.4083831133</v>
      </c>
      <c r="H121" s="646">
        <f t="shared" si="27"/>
        <v>707908.46198277152</v>
      </c>
      <c r="I121" s="573">
        <f t="shared" si="25"/>
        <v>707908.46198277152</v>
      </c>
      <c r="J121" s="505">
        <f t="shared" si="21"/>
        <v>0</v>
      </c>
      <c r="K121" s="505"/>
      <c r="L121" s="513"/>
      <c r="M121" s="505">
        <f t="shared" si="26"/>
        <v>0</v>
      </c>
      <c r="N121" s="513"/>
      <c r="O121" s="505">
        <f t="shared" si="19"/>
        <v>0</v>
      </c>
      <c r="P121" s="505">
        <f t="shared" si="20"/>
        <v>0</v>
      </c>
      <c r="Q121" s="244"/>
      <c r="R121" s="244"/>
      <c r="S121" s="244"/>
      <c r="T121" s="244"/>
      <c r="U121" s="244"/>
    </row>
    <row r="122" spans="2:21" ht="12.5">
      <c r="B122" s="145" t="str">
        <f t="shared" si="15"/>
        <v/>
      </c>
      <c r="C122" s="496">
        <f>IF(D94="","-",+C121+1)</f>
        <v>2036</v>
      </c>
      <c r="D122" s="350">
        <f>IF(F121+SUM(E$100:E121)=D$93,F121,D$93-SUM(E$100:E121))</f>
        <v>3040587.3726688279</v>
      </c>
      <c r="E122" s="510">
        <f t="shared" si="22"/>
        <v>364932.07142857142</v>
      </c>
      <c r="F122" s="511">
        <f t="shared" si="23"/>
        <v>2675655.3012402565</v>
      </c>
      <c r="G122" s="511">
        <f t="shared" si="24"/>
        <v>2858121.3369545424</v>
      </c>
      <c r="H122" s="646">
        <f t="shared" si="27"/>
        <v>669074.76337557763</v>
      </c>
      <c r="I122" s="573">
        <f t="shared" si="25"/>
        <v>669074.76337557763</v>
      </c>
      <c r="J122" s="505">
        <f t="shared" si="21"/>
        <v>0</v>
      </c>
      <c r="K122" s="505"/>
      <c r="L122" s="513"/>
      <c r="M122" s="505">
        <f t="shared" si="26"/>
        <v>0</v>
      </c>
      <c r="N122" s="513"/>
      <c r="O122" s="505">
        <f t="shared" si="19"/>
        <v>0</v>
      </c>
      <c r="P122" s="505">
        <f t="shared" si="20"/>
        <v>0</v>
      </c>
      <c r="Q122" s="244"/>
      <c r="R122" s="244"/>
      <c r="S122" s="244"/>
      <c r="T122" s="244"/>
      <c r="U122" s="244"/>
    </row>
    <row r="123" spans="2:21" ht="12.5">
      <c r="B123" s="145" t="str">
        <f t="shared" si="15"/>
        <v/>
      </c>
      <c r="C123" s="496">
        <f>IF(D94="","-",+C122+1)</f>
        <v>2037</v>
      </c>
      <c r="D123" s="350">
        <f>IF(F122+SUM(E$100:E122)=D$93,F122,D$93-SUM(E$100:E122))</f>
        <v>2675655.3012402565</v>
      </c>
      <c r="E123" s="510">
        <f t="shared" si="22"/>
        <v>364932.07142857142</v>
      </c>
      <c r="F123" s="511">
        <f t="shared" si="23"/>
        <v>2310723.2298116852</v>
      </c>
      <c r="G123" s="511">
        <f t="shared" si="24"/>
        <v>2493189.2655259706</v>
      </c>
      <c r="H123" s="646">
        <f t="shared" si="27"/>
        <v>630241.06476838375</v>
      </c>
      <c r="I123" s="573">
        <f t="shared" si="25"/>
        <v>630241.06476838375</v>
      </c>
      <c r="J123" s="505">
        <f t="shared" si="21"/>
        <v>0</v>
      </c>
      <c r="K123" s="505"/>
      <c r="L123" s="513"/>
      <c r="M123" s="505">
        <f t="shared" si="26"/>
        <v>0</v>
      </c>
      <c r="N123" s="513"/>
      <c r="O123" s="505">
        <f t="shared" si="19"/>
        <v>0</v>
      </c>
      <c r="P123" s="505">
        <f t="shared" si="20"/>
        <v>0</v>
      </c>
      <c r="Q123" s="244"/>
      <c r="R123" s="244"/>
      <c r="S123" s="244"/>
      <c r="T123" s="244"/>
      <c r="U123" s="244"/>
    </row>
    <row r="124" spans="2:21" ht="12.5">
      <c r="B124" s="145" t="str">
        <f t="shared" si="15"/>
        <v/>
      </c>
      <c r="C124" s="496">
        <f>IF(D94="","-",+C123+1)</f>
        <v>2038</v>
      </c>
      <c r="D124" s="350">
        <f>IF(F123+SUM(E$100:E123)=D$93,F123,D$93-SUM(E$100:E123))</f>
        <v>2310723.2298116852</v>
      </c>
      <c r="E124" s="510">
        <f t="shared" si="22"/>
        <v>364932.07142857142</v>
      </c>
      <c r="F124" s="511">
        <f t="shared" si="23"/>
        <v>1945791.1583831138</v>
      </c>
      <c r="G124" s="511">
        <f t="shared" si="24"/>
        <v>2128257.1940973997</v>
      </c>
      <c r="H124" s="646">
        <f t="shared" si="27"/>
        <v>591407.36616118974</v>
      </c>
      <c r="I124" s="573">
        <f t="shared" si="25"/>
        <v>591407.36616118974</v>
      </c>
      <c r="J124" s="505">
        <f t="shared" si="21"/>
        <v>0</v>
      </c>
      <c r="K124" s="505"/>
      <c r="L124" s="513"/>
      <c r="M124" s="505">
        <f t="shared" si="26"/>
        <v>0</v>
      </c>
      <c r="N124" s="513"/>
      <c r="O124" s="505">
        <f t="shared" si="19"/>
        <v>0</v>
      </c>
      <c r="P124" s="505">
        <f t="shared" si="20"/>
        <v>0</v>
      </c>
      <c r="Q124" s="244"/>
      <c r="R124" s="244"/>
      <c r="S124" s="244"/>
      <c r="T124" s="244"/>
      <c r="U124" s="244"/>
    </row>
    <row r="125" spans="2:21" ht="12.5">
      <c r="B125" s="145" t="str">
        <f t="shared" si="15"/>
        <v/>
      </c>
      <c r="C125" s="496">
        <f>IF(D94="","-",+C124+1)</f>
        <v>2039</v>
      </c>
      <c r="D125" s="350">
        <f>IF(F124+SUM(E$100:E124)=D$93,F124,D$93-SUM(E$100:E124))</f>
        <v>1945791.1583831138</v>
      </c>
      <c r="E125" s="510">
        <f t="shared" si="22"/>
        <v>364932.07142857142</v>
      </c>
      <c r="F125" s="511">
        <f t="shared" si="23"/>
        <v>1580859.0869545424</v>
      </c>
      <c r="G125" s="511">
        <f t="shared" si="24"/>
        <v>1763325.1226688281</v>
      </c>
      <c r="H125" s="646">
        <f t="shared" si="27"/>
        <v>552573.66755399585</v>
      </c>
      <c r="I125" s="573">
        <f t="shared" si="25"/>
        <v>552573.66755399585</v>
      </c>
      <c r="J125" s="505">
        <f t="shared" si="21"/>
        <v>0</v>
      </c>
      <c r="K125" s="505"/>
      <c r="L125" s="513"/>
      <c r="M125" s="505">
        <f t="shared" si="26"/>
        <v>0</v>
      </c>
      <c r="N125" s="513"/>
      <c r="O125" s="505">
        <f t="shared" si="19"/>
        <v>0</v>
      </c>
      <c r="P125" s="505">
        <f t="shared" si="20"/>
        <v>0</v>
      </c>
      <c r="Q125" s="244"/>
      <c r="R125" s="244"/>
      <c r="S125" s="244"/>
      <c r="T125" s="244"/>
      <c r="U125" s="244"/>
    </row>
    <row r="126" spans="2:21" ht="12.5">
      <c r="B126" s="145" t="str">
        <f t="shared" si="15"/>
        <v/>
      </c>
      <c r="C126" s="496">
        <f>IF(D94="","-",+C125+1)</f>
        <v>2040</v>
      </c>
      <c r="D126" s="350">
        <f>IF(F125+SUM(E$100:E125)=D$93,F125,D$93-SUM(E$100:E125))</f>
        <v>1580859.0869545424</v>
      </c>
      <c r="E126" s="510">
        <f t="shared" si="22"/>
        <v>364932.07142857142</v>
      </c>
      <c r="F126" s="511">
        <f t="shared" si="23"/>
        <v>1215927.0155259711</v>
      </c>
      <c r="G126" s="511">
        <f t="shared" si="24"/>
        <v>1398393.0512402568</v>
      </c>
      <c r="H126" s="646">
        <f t="shared" si="27"/>
        <v>513739.96894680191</v>
      </c>
      <c r="I126" s="573">
        <f t="shared" si="25"/>
        <v>513739.96894680191</v>
      </c>
      <c r="J126" s="505">
        <f t="shared" si="21"/>
        <v>0</v>
      </c>
      <c r="K126" s="505"/>
      <c r="L126" s="513"/>
      <c r="M126" s="505">
        <f t="shared" si="26"/>
        <v>0</v>
      </c>
      <c r="N126" s="513"/>
      <c r="O126" s="505">
        <f t="shared" si="19"/>
        <v>0</v>
      </c>
      <c r="P126" s="505">
        <f t="shared" si="20"/>
        <v>0</v>
      </c>
      <c r="Q126" s="244"/>
      <c r="R126" s="244"/>
      <c r="S126" s="244"/>
      <c r="T126" s="244"/>
      <c r="U126" s="244"/>
    </row>
    <row r="127" spans="2:21" ht="12.5">
      <c r="B127" s="145" t="str">
        <f t="shared" si="15"/>
        <v/>
      </c>
      <c r="C127" s="496">
        <f>IF(D94="","-",+C126+1)</f>
        <v>2041</v>
      </c>
      <c r="D127" s="350">
        <f>IF(F126+SUM(E$100:E126)=D$93,F126,D$93-SUM(E$100:E126))</f>
        <v>1215927.0155259711</v>
      </c>
      <c r="E127" s="510">
        <f t="shared" si="22"/>
        <v>364932.07142857142</v>
      </c>
      <c r="F127" s="511">
        <f t="shared" si="23"/>
        <v>850994.94409739971</v>
      </c>
      <c r="G127" s="511">
        <f t="shared" si="24"/>
        <v>1033460.9798116854</v>
      </c>
      <c r="H127" s="646">
        <f t="shared" si="27"/>
        <v>474906.27033960796</v>
      </c>
      <c r="I127" s="573">
        <f t="shared" si="25"/>
        <v>474906.27033960796</v>
      </c>
      <c r="J127" s="505">
        <f t="shared" si="21"/>
        <v>0</v>
      </c>
      <c r="K127" s="505"/>
      <c r="L127" s="513"/>
      <c r="M127" s="505">
        <f t="shared" si="26"/>
        <v>0</v>
      </c>
      <c r="N127" s="513"/>
      <c r="O127" s="505">
        <f t="shared" si="19"/>
        <v>0</v>
      </c>
      <c r="P127" s="505">
        <f t="shared" si="20"/>
        <v>0</v>
      </c>
      <c r="Q127" s="244"/>
      <c r="R127" s="244"/>
      <c r="S127" s="244"/>
      <c r="T127" s="244"/>
      <c r="U127" s="244"/>
    </row>
    <row r="128" spans="2:21" ht="12.5">
      <c r="B128" s="145" t="str">
        <f t="shared" si="15"/>
        <v/>
      </c>
      <c r="C128" s="496">
        <f>IF(D94="","-",+C127+1)</f>
        <v>2042</v>
      </c>
      <c r="D128" s="350">
        <f>IF(F127+SUM(E$100:E127)=D$93,F127,D$93-SUM(E$100:E127))</f>
        <v>850994.94409739971</v>
      </c>
      <c r="E128" s="510">
        <f t="shared" si="22"/>
        <v>364932.07142857142</v>
      </c>
      <c r="F128" s="511">
        <f t="shared" si="23"/>
        <v>486062.87266882829</v>
      </c>
      <c r="G128" s="511">
        <f t="shared" si="24"/>
        <v>668528.90838311403</v>
      </c>
      <c r="H128" s="646">
        <f t="shared" si="27"/>
        <v>436072.57173241407</v>
      </c>
      <c r="I128" s="573">
        <f t="shared" si="25"/>
        <v>436072.57173241407</v>
      </c>
      <c r="J128" s="505">
        <f t="shared" si="21"/>
        <v>0</v>
      </c>
      <c r="K128" s="505"/>
      <c r="L128" s="513"/>
      <c r="M128" s="505">
        <f t="shared" si="26"/>
        <v>0</v>
      </c>
      <c r="N128" s="513"/>
      <c r="O128" s="505">
        <f t="shared" si="19"/>
        <v>0</v>
      </c>
      <c r="P128" s="505">
        <f t="shared" si="20"/>
        <v>0</v>
      </c>
      <c r="Q128" s="244"/>
      <c r="R128" s="244"/>
      <c r="S128" s="244"/>
      <c r="T128" s="244"/>
      <c r="U128" s="244"/>
    </row>
    <row r="129" spans="2:21" ht="12.5">
      <c r="B129" s="145" t="str">
        <f t="shared" si="15"/>
        <v/>
      </c>
      <c r="C129" s="496">
        <f>IF(D94="","-",+C128+1)</f>
        <v>2043</v>
      </c>
      <c r="D129" s="350">
        <f>IF(F128+SUM(E$100:E128)=D$93,F128,D$93-SUM(E$100:E128))</f>
        <v>486062.87266882829</v>
      </c>
      <c r="E129" s="510">
        <f t="shared" si="22"/>
        <v>364932.07142857142</v>
      </c>
      <c r="F129" s="511">
        <f t="shared" si="23"/>
        <v>121130.80124025687</v>
      </c>
      <c r="G129" s="511">
        <f t="shared" si="24"/>
        <v>303596.83695454255</v>
      </c>
      <c r="H129" s="646">
        <f t="shared" si="27"/>
        <v>397238.87312522013</v>
      </c>
      <c r="I129" s="573">
        <f t="shared" si="25"/>
        <v>397238.87312522013</v>
      </c>
      <c r="J129" s="505">
        <f t="shared" si="21"/>
        <v>0</v>
      </c>
      <c r="K129" s="505"/>
      <c r="L129" s="513"/>
      <c r="M129" s="505">
        <f t="shared" si="26"/>
        <v>0</v>
      </c>
      <c r="N129" s="513"/>
      <c r="O129" s="505">
        <f t="shared" si="19"/>
        <v>0</v>
      </c>
      <c r="P129" s="505">
        <f t="shared" si="20"/>
        <v>0</v>
      </c>
      <c r="Q129" s="244"/>
      <c r="R129" s="244"/>
      <c r="S129" s="244"/>
      <c r="T129" s="244"/>
      <c r="U129" s="244"/>
    </row>
    <row r="130" spans="2:21" ht="12.5">
      <c r="B130" s="145" t="str">
        <f t="shared" si="15"/>
        <v/>
      </c>
      <c r="C130" s="496">
        <f>IF(D94="","-",+C129+1)</f>
        <v>2044</v>
      </c>
      <c r="D130" s="350">
        <f>IF(F129+SUM(E$100:E129)=D$93,F129,D$93-SUM(E$100:E129))</f>
        <v>121130.80124025687</v>
      </c>
      <c r="E130" s="510">
        <f t="shared" si="22"/>
        <v>121130.80124025687</v>
      </c>
      <c r="F130" s="511">
        <f t="shared" si="23"/>
        <v>0</v>
      </c>
      <c r="G130" s="511">
        <f t="shared" si="24"/>
        <v>60565.400620128436</v>
      </c>
      <c r="H130" s="646">
        <f t="shared" si="27"/>
        <v>127575.77743678275</v>
      </c>
      <c r="I130" s="573">
        <f t="shared" si="25"/>
        <v>127575.77743678275</v>
      </c>
      <c r="J130" s="505">
        <f t="shared" si="21"/>
        <v>0</v>
      </c>
      <c r="K130" s="505"/>
      <c r="L130" s="513"/>
      <c r="M130" s="505">
        <f t="shared" si="26"/>
        <v>0</v>
      </c>
      <c r="N130" s="513"/>
      <c r="O130" s="505">
        <f t="shared" si="19"/>
        <v>0</v>
      </c>
      <c r="P130" s="505">
        <f t="shared" si="20"/>
        <v>0</v>
      </c>
      <c r="Q130" s="244"/>
      <c r="R130" s="244"/>
      <c r="S130" s="244"/>
      <c r="T130" s="244"/>
      <c r="U130" s="244"/>
    </row>
    <row r="131" spans="2:21" ht="12.5">
      <c r="B131" s="145" t="str">
        <f t="shared" si="15"/>
        <v/>
      </c>
      <c r="C131" s="496">
        <f>IF(D94="","-",+C130+1)</f>
        <v>2045</v>
      </c>
      <c r="D131" s="350">
        <f>IF(F130+SUM(E$100:E130)=D$93,F130,D$93-SUM(E$100:E130))</f>
        <v>0</v>
      </c>
      <c r="E131" s="510">
        <f t="shared" si="22"/>
        <v>0</v>
      </c>
      <c r="F131" s="511">
        <f t="shared" si="23"/>
        <v>0</v>
      </c>
      <c r="G131" s="511">
        <f t="shared" si="24"/>
        <v>0</v>
      </c>
      <c r="H131" s="646">
        <f t="shared" si="27"/>
        <v>0</v>
      </c>
      <c r="I131" s="573">
        <f t="shared" si="25"/>
        <v>0</v>
      </c>
      <c r="J131" s="505">
        <f t="shared" si="21"/>
        <v>0</v>
      </c>
      <c r="K131" s="505"/>
      <c r="L131" s="513"/>
      <c r="M131" s="505">
        <f t="shared" si="26"/>
        <v>0</v>
      </c>
      <c r="N131" s="513"/>
      <c r="O131" s="505">
        <f t="shared" si="19"/>
        <v>0</v>
      </c>
      <c r="P131" s="505">
        <f t="shared" si="20"/>
        <v>0</v>
      </c>
      <c r="Q131" s="244"/>
      <c r="R131" s="244"/>
      <c r="S131" s="244"/>
      <c r="T131" s="244"/>
      <c r="U131" s="244"/>
    </row>
    <row r="132" spans="2:21" ht="12.5">
      <c r="B132" s="145" t="str">
        <f t="shared" si="15"/>
        <v/>
      </c>
      <c r="C132" s="496">
        <f>IF(D94="","-",+C131+1)</f>
        <v>2046</v>
      </c>
      <c r="D132" s="350">
        <f>IF(F131+SUM(E$100:E131)=D$93,F131,D$93-SUM(E$100:E131))</f>
        <v>0</v>
      </c>
      <c r="E132" s="510">
        <f t="shared" si="22"/>
        <v>0</v>
      </c>
      <c r="F132" s="511">
        <f t="shared" si="23"/>
        <v>0</v>
      </c>
      <c r="G132" s="511">
        <f t="shared" si="24"/>
        <v>0</v>
      </c>
      <c r="H132" s="646">
        <f t="shared" si="27"/>
        <v>0</v>
      </c>
      <c r="I132" s="573">
        <f t="shared" si="25"/>
        <v>0</v>
      </c>
      <c r="J132" s="505">
        <f t="shared" si="21"/>
        <v>0</v>
      </c>
      <c r="K132" s="505"/>
      <c r="L132" s="513"/>
      <c r="M132" s="505">
        <f t="shared" ref="M132:M155" si="28">IF(L542&lt;&gt;0,+H542-L542,0)</f>
        <v>0</v>
      </c>
      <c r="N132" s="513"/>
      <c r="O132" s="505">
        <f t="shared" ref="O132:O155" si="29">IF(N542&lt;&gt;0,+I542-N542,0)</f>
        <v>0</v>
      </c>
      <c r="P132" s="505">
        <f t="shared" ref="P132:P155" si="30">+O542-M542</f>
        <v>0</v>
      </c>
      <c r="Q132" s="244"/>
      <c r="R132" s="244"/>
      <c r="S132" s="244"/>
      <c r="T132" s="244"/>
      <c r="U132" s="244"/>
    </row>
    <row r="133" spans="2:21" ht="12.5">
      <c r="B133" s="145" t="str">
        <f t="shared" si="15"/>
        <v/>
      </c>
      <c r="C133" s="496">
        <f>IF(D94="","-",+C132+1)</f>
        <v>2047</v>
      </c>
      <c r="D133" s="350">
        <f>IF(F132+SUM(E$100:E132)=D$93,F132,D$93-SUM(E$100:E132))</f>
        <v>0</v>
      </c>
      <c r="E133" s="510">
        <f t="shared" si="22"/>
        <v>0</v>
      </c>
      <c r="F133" s="511">
        <f t="shared" si="23"/>
        <v>0</v>
      </c>
      <c r="G133" s="511">
        <f t="shared" si="24"/>
        <v>0</v>
      </c>
      <c r="H133" s="646">
        <f t="shared" si="27"/>
        <v>0</v>
      </c>
      <c r="I133" s="573">
        <f t="shared" si="25"/>
        <v>0</v>
      </c>
      <c r="J133" s="505">
        <f t="shared" si="21"/>
        <v>0</v>
      </c>
      <c r="K133" s="505"/>
      <c r="L133" s="513"/>
      <c r="M133" s="505">
        <f t="shared" si="28"/>
        <v>0</v>
      </c>
      <c r="N133" s="513"/>
      <c r="O133" s="505">
        <f t="shared" si="29"/>
        <v>0</v>
      </c>
      <c r="P133" s="505">
        <f t="shared" si="30"/>
        <v>0</v>
      </c>
      <c r="Q133" s="244"/>
      <c r="R133" s="244"/>
      <c r="S133" s="244"/>
      <c r="T133" s="244"/>
      <c r="U133" s="244"/>
    </row>
    <row r="134" spans="2:21" ht="12.5">
      <c r="B134" s="145" t="str">
        <f t="shared" si="15"/>
        <v/>
      </c>
      <c r="C134" s="496">
        <f>IF(D94="","-",+C133+1)</f>
        <v>2048</v>
      </c>
      <c r="D134" s="350">
        <f>IF(F133+SUM(E$100:E133)=D$93,F133,D$93-SUM(E$100:E133))</f>
        <v>0</v>
      </c>
      <c r="E134" s="510">
        <f t="shared" si="22"/>
        <v>0</v>
      </c>
      <c r="F134" s="511">
        <f t="shared" si="23"/>
        <v>0</v>
      </c>
      <c r="G134" s="511">
        <f t="shared" si="24"/>
        <v>0</v>
      </c>
      <c r="H134" s="646">
        <f t="shared" si="27"/>
        <v>0</v>
      </c>
      <c r="I134" s="573">
        <f t="shared" si="25"/>
        <v>0</v>
      </c>
      <c r="J134" s="505">
        <f t="shared" si="21"/>
        <v>0</v>
      </c>
      <c r="K134" s="505"/>
      <c r="L134" s="513"/>
      <c r="M134" s="505">
        <f t="shared" si="28"/>
        <v>0</v>
      </c>
      <c r="N134" s="513"/>
      <c r="O134" s="505">
        <f t="shared" si="29"/>
        <v>0</v>
      </c>
      <c r="P134" s="505">
        <f t="shared" si="30"/>
        <v>0</v>
      </c>
      <c r="Q134" s="244"/>
      <c r="R134" s="244"/>
      <c r="S134" s="244"/>
      <c r="T134" s="244"/>
      <c r="U134" s="244"/>
    </row>
    <row r="135" spans="2:21" ht="12.5">
      <c r="B135" s="145" t="str">
        <f t="shared" si="15"/>
        <v/>
      </c>
      <c r="C135" s="496">
        <f>IF(D94="","-",+C134+1)</f>
        <v>2049</v>
      </c>
      <c r="D135" s="350">
        <f>IF(F134+SUM(E$100:E134)=D$93,F134,D$93-SUM(E$100:E134))</f>
        <v>0</v>
      </c>
      <c r="E135" s="510">
        <f t="shared" si="22"/>
        <v>0</v>
      </c>
      <c r="F135" s="511">
        <f t="shared" si="23"/>
        <v>0</v>
      </c>
      <c r="G135" s="511">
        <f t="shared" si="24"/>
        <v>0</v>
      </c>
      <c r="H135" s="646">
        <f t="shared" si="27"/>
        <v>0</v>
      </c>
      <c r="I135" s="573">
        <f t="shared" si="25"/>
        <v>0</v>
      </c>
      <c r="J135" s="505">
        <f t="shared" si="21"/>
        <v>0</v>
      </c>
      <c r="K135" s="505"/>
      <c r="L135" s="513"/>
      <c r="M135" s="505">
        <f t="shared" si="28"/>
        <v>0</v>
      </c>
      <c r="N135" s="513"/>
      <c r="O135" s="505">
        <f t="shared" si="29"/>
        <v>0</v>
      </c>
      <c r="P135" s="505">
        <f t="shared" si="30"/>
        <v>0</v>
      </c>
      <c r="Q135" s="244"/>
      <c r="R135" s="244"/>
      <c r="S135" s="244"/>
      <c r="T135" s="244"/>
      <c r="U135" s="244"/>
    </row>
    <row r="136" spans="2:21" ht="12.5">
      <c r="B136" s="145" t="str">
        <f t="shared" si="15"/>
        <v/>
      </c>
      <c r="C136" s="496">
        <f>IF(D94="","-",+C135+1)</f>
        <v>2050</v>
      </c>
      <c r="D136" s="350">
        <f>IF(F135+SUM(E$100:E135)=D$93,F135,D$93-SUM(E$100:E135))</f>
        <v>0</v>
      </c>
      <c r="E136" s="510">
        <f t="shared" si="22"/>
        <v>0</v>
      </c>
      <c r="F136" s="511">
        <f t="shared" si="23"/>
        <v>0</v>
      </c>
      <c r="G136" s="511">
        <f t="shared" si="24"/>
        <v>0</v>
      </c>
      <c r="H136" s="646">
        <f t="shared" si="27"/>
        <v>0</v>
      </c>
      <c r="I136" s="573">
        <f t="shared" si="25"/>
        <v>0</v>
      </c>
      <c r="J136" s="505">
        <f t="shared" si="21"/>
        <v>0</v>
      </c>
      <c r="K136" s="505"/>
      <c r="L136" s="513"/>
      <c r="M136" s="505">
        <f t="shared" si="28"/>
        <v>0</v>
      </c>
      <c r="N136" s="513"/>
      <c r="O136" s="505">
        <f t="shared" si="29"/>
        <v>0</v>
      </c>
      <c r="P136" s="505">
        <f t="shared" si="30"/>
        <v>0</v>
      </c>
      <c r="Q136" s="244"/>
      <c r="R136" s="244"/>
      <c r="S136" s="244"/>
      <c r="T136" s="244"/>
      <c r="U136" s="244"/>
    </row>
    <row r="137" spans="2:21" ht="12.5">
      <c r="B137" s="145" t="str">
        <f t="shared" si="15"/>
        <v/>
      </c>
      <c r="C137" s="496">
        <f>IF(D94="","-",+C136+1)</f>
        <v>2051</v>
      </c>
      <c r="D137" s="350">
        <f>IF(F136+SUM(E$100:E136)=D$93,F136,D$93-SUM(E$100:E136))</f>
        <v>0</v>
      </c>
      <c r="E137" s="510">
        <f t="shared" si="22"/>
        <v>0</v>
      </c>
      <c r="F137" s="511">
        <f t="shared" si="23"/>
        <v>0</v>
      </c>
      <c r="G137" s="511">
        <f t="shared" si="24"/>
        <v>0</v>
      </c>
      <c r="H137" s="646">
        <f t="shared" si="27"/>
        <v>0</v>
      </c>
      <c r="I137" s="573">
        <f t="shared" si="25"/>
        <v>0</v>
      </c>
      <c r="J137" s="505">
        <f t="shared" si="21"/>
        <v>0</v>
      </c>
      <c r="K137" s="505"/>
      <c r="L137" s="513"/>
      <c r="M137" s="505">
        <f t="shared" si="28"/>
        <v>0</v>
      </c>
      <c r="N137" s="513"/>
      <c r="O137" s="505">
        <f t="shared" si="29"/>
        <v>0</v>
      </c>
      <c r="P137" s="505">
        <f t="shared" si="30"/>
        <v>0</v>
      </c>
      <c r="Q137" s="244"/>
      <c r="R137" s="244"/>
      <c r="S137" s="244"/>
      <c r="T137" s="244"/>
      <c r="U137" s="244"/>
    </row>
    <row r="138" spans="2:21" ht="12.5">
      <c r="B138" s="145" t="str">
        <f t="shared" si="15"/>
        <v/>
      </c>
      <c r="C138" s="496">
        <f>IF(D94="","-",+C137+1)</f>
        <v>2052</v>
      </c>
      <c r="D138" s="350">
        <f>IF(F137+SUM(E$100:E137)=D$93,F137,D$93-SUM(E$100:E137))</f>
        <v>0</v>
      </c>
      <c r="E138" s="510">
        <f t="shared" si="22"/>
        <v>0</v>
      </c>
      <c r="F138" s="511">
        <f t="shared" si="23"/>
        <v>0</v>
      </c>
      <c r="G138" s="511">
        <f t="shared" si="24"/>
        <v>0</v>
      </c>
      <c r="H138" s="646">
        <f t="shared" si="27"/>
        <v>0</v>
      </c>
      <c r="I138" s="573">
        <f t="shared" si="25"/>
        <v>0</v>
      </c>
      <c r="J138" s="505">
        <f t="shared" si="21"/>
        <v>0</v>
      </c>
      <c r="K138" s="505"/>
      <c r="L138" s="513"/>
      <c r="M138" s="505">
        <f t="shared" si="28"/>
        <v>0</v>
      </c>
      <c r="N138" s="513"/>
      <c r="O138" s="505">
        <f t="shared" si="29"/>
        <v>0</v>
      </c>
      <c r="P138" s="505">
        <f t="shared" si="30"/>
        <v>0</v>
      </c>
      <c r="Q138" s="244"/>
      <c r="R138" s="244"/>
      <c r="S138" s="244"/>
      <c r="T138" s="244"/>
      <c r="U138" s="244"/>
    </row>
    <row r="139" spans="2:21" ht="12.5">
      <c r="B139" s="145" t="str">
        <f t="shared" si="15"/>
        <v/>
      </c>
      <c r="C139" s="496">
        <f>IF(D94="","-",+C138+1)</f>
        <v>2053</v>
      </c>
      <c r="D139" s="350">
        <f>IF(F138+SUM(E$100:E138)=D$93,F138,D$93-SUM(E$100:E138))</f>
        <v>0</v>
      </c>
      <c r="E139" s="510">
        <f t="shared" si="22"/>
        <v>0</v>
      </c>
      <c r="F139" s="511">
        <f t="shared" si="23"/>
        <v>0</v>
      </c>
      <c r="G139" s="511">
        <f t="shared" si="24"/>
        <v>0</v>
      </c>
      <c r="H139" s="646">
        <f t="shared" si="27"/>
        <v>0</v>
      </c>
      <c r="I139" s="573">
        <f t="shared" si="25"/>
        <v>0</v>
      </c>
      <c r="J139" s="505">
        <f t="shared" si="21"/>
        <v>0</v>
      </c>
      <c r="K139" s="505"/>
      <c r="L139" s="513"/>
      <c r="M139" s="505">
        <f t="shared" si="28"/>
        <v>0</v>
      </c>
      <c r="N139" s="513"/>
      <c r="O139" s="505">
        <f t="shared" si="29"/>
        <v>0</v>
      </c>
      <c r="P139" s="505">
        <f t="shared" si="30"/>
        <v>0</v>
      </c>
      <c r="Q139" s="244"/>
      <c r="R139" s="244"/>
      <c r="S139" s="244"/>
      <c r="T139" s="244"/>
      <c r="U139" s="244"/>
    </row>
    <row r="140" spans="2:21" ht="12.5">
      <c r="B140" s="145" t="str">
        <f t="shared" si="15"/>
        <v/>
      </c>
      <c r="C140" s="496">
        <f>IF(D94="","-",+C139+1)</f>
        <v>2054</v>
      </c>
      <c r="D140" s="350">
        <f>IF(F139+SUM(E$100:E139)=D$93,F139,D$93-SUM(E$100:E139))</f>
        <v>0</v>
      </c>
      <c r="E140" s="510">
        <f t="shared" si="22"/>
        <v>0</v>
      </c>
      <c r="F140" s="511">
        <f t="shared" si="23"/>
        <v>0</v>
      </c>
      <c r="G140" s="511">
        <f t="shared" si="24"/>
        <v>0</v>
      </c>
      <c r="H140" s="646">
        <f t="shared" si="27"/>
        <v>0</v>
      </c>
      <c r="I140" s="573">
        <f t="shared" si="25"/>
        <v>0</v>
      </c>
      <c r="J140" s="505">
        <f t="shared" si="21"/>
        <v>0</v>
      </c>
      <c r="K140" s="505"/>
      <c r="L140" s="513"/>
      <c r="M140" s="505">
        <f t="shared" si="28"/>
        <v>0</v>
      </c>
      <c r="N140" s="513"/>
      <c r="O140" s="505">
        <f t="shared" si="29"/>
        <v>0</v>
      </c>
      <c r="P140" s="505">
        <f t="shared" si="30"/>
        <v>0</v>
      </c>
      <c r="Q140" s="244"/>
      <c r="R140" s="244"/>
      <c r="S140" s="244"/>
      <c r="T140" s="244"/>
      <c r="U140" s="244"/>
    </row>
    <row r="141" spans="2:21" ht="12.5">
      <c r="B141" s="145" t="str">
        <f t="shared" si="15"/>
        <v/>
      </c>
      <c r="C141" s="496">
        <f>IF(D94="","-",+C140+1)</f>
        <v>2055</v>
      </c>
      <c r="D141" s="350">
        <f>IF(F140+SUM(E$100:E140)=D$93,F140,D$93-SUM(E$100:E140))</f>
        <v>0</v>
      </c>
      <c r="E141" s="510">
        <f t="shared" si="22"/>
        <v>0</v>
      </c>
      <c r="F141" s="511">
        <f t="shared" si="23"/>
        <v>0</v>
      </c>
      <c r="G141" s="511">
        <f t="shared" si="24"/>
        <v>0</v>
      </c>
      <c r="H141" s="646">
        <f t="shared" si="27"/>
        <v>0</v>
      </c>
      <c r="I141" s="573">
        <f t="shared" si="25"/>
        <v>0</v>
      </c>
      <c r="J141" s="505">
        <f t="shared" si="21"/>
        <v>0</v>
      </c>
      <c r="K141" s="505"/>
      <c r="L141" s="513"/>
      <c r="M141" s="505">
        <f t="shared" si="28"/>
        <v>0</v>
      </c>
      <c r="N141" s="513"/>
      <c r="O141" s="505">
        <f t="shared" si="29"/>
        <v>0</v>
      </c>
      <c r="P141" s="505">
        <f t="shared" si="30"/>
        <v>0</v>
      </c>
      <c r="Q141" s="244"/>
      <c r="R141" s="244"/>
      <c r="S141" s="244"/>
      <c r="T141" s="244"/>
      <c r="U141" s="244"/>
    </row>
    <row r="142" spans="2:21" ht="12.5">
      <c r="B142" s="145" t="str">
        <f t="shared" si="15"/>
        <v/>
      </c>
      <c r="C142" s="496">
        <f>IF(D94="","-",+C141+1)</f>
        <v>2056</v>
      </c>
      <c r="D142" s="350">
        <f>IF(F141+SUM(E$100:E141)=D$93,F141,D$93-SUM(E$100:E141))</f>
        <v>0</v>
      </c>
      <c r="E142" s="510">
        <f t="shared" si="22"/>
        <v>0</v>
      </c>
      <c r="F142" s="511">
        <f t="shared" si="23"/>
        <v>0</v>
      </c>
      <c r="G142" s="511">
        <f t="shared" si="24"/>
        <v>0</v>
      </c>
      <c r="H142" s="646">
        <f t="shared" si="27"/>
        <v>0</v>
      </c>
      <c r="I142" s="573">
        <f t="shared" si="25"/>
        <v>0</v>
      </c>
      <c r="J142" s="505">
        <f t="shared" si="21"/>
        <v>0</v>
      </c>
      <c r="K142" s="505"/>
      <c r="L142" s="513"/>
      <c r="M142" s="505">
        <f t="shared" si="28"/>
        <v>0</v>
      </c>
      <c r="N142" s="513"/>
      <c r="O142" s="505">
        <f t="shared" si="29"/>
        <v>0</v>
      </c>
      <c r="P142" s="505">
        <f t="shared" si="30"/>
        <v>0</v>
      </c>
      <c r="Q142" s="244"/>
      <c r="R142" s="244"/>
      <c r="S142" s="244"/>
      <c r="T142" s="244"/>
      <c r="U142" s="244"/>
    </row>
    <row r="143" spans="2:21" ht="12.5">
      <c r="B143" s="145" t="str">
        <f t="shared" si="15"/>
        <v/>
      </c>
      <c r="C143" s="496">
        <f>IF(D94="","-",+C142+1)</f>
        <v>2057</v>
      </c>
      <c r="D143" s="350">
        <f>IF(F142+SUM(E$100:E142)=D$93,F142,D$93-SUM(E$100:E142))</f>
        <v>0</v>
      </c>
      <c r="E143" s="510">
        <f t="shared" si="22"/>
        <v>0</v>
      </c>
      <c r="F143" s="511">
        <f t="shared" si="23"/>
        <v>0</v>
      </c>
      <c r="G143" s="511">
        <f t="shared" si="24"/>
        <v>0</v>
      </c>
      <c r="H143" s="646">
        <f t="shared" si="27"/>
        <v>0</v>
      </c>
      <c r="I143" s="573">
        <f t="shared" si="25"/>
        <v>0</v>
      </c>
      <c r="J143" s="505">
        <f t="shared" si="21"/>
        <v>0</v>
      </c>
      <c r="K143" s="505"/>
      <c r="L143" s="513"/>
      <c r="M143" s="505">
        <f t="shared" si="28"/>
        <v>0</v>
      </c>
      <c r="N143" s="513"/>
      <c r="O143" s="505">
        <f t="shared" si="29"/>
        <v>0</v>
      </c>
      <c r="P143" s="505">
        <f t="shared" si="30"/>
        <v>0</v>
      </c>
      <c r="Q143" s="244"/>
      <c r="R143" s="244"/>
      <c r="S143" s="244"/>
      <c r="T143" s="244"/>
      <c r="U143" s="244"/>
    </row>
    <row r="144" spans="2:21" ht="12.5">
      <c r="B144" s="145" t="str">
        <f t="shared" si="15"/>
        <v/>
      </c>
      <c r="C144" s="496">
        <f>IF(D94="","-",+C143+1)</f>
        <v>2058</v>
      </c>
      <c r="D144" s="350">
        <f>IF(F143+SUM(E$100:E143)=D$93,F143,D$93-SUM(E$100:E143))</f>
        <v>0</v>
      </c>
      <c r="E144" s="510">
        <f t="shared" si="22"/>
        <v>0</v>
      </c>
      <c r="F144" s="511">
        <f t="shared" si="23"/>
        <v>0</v>
      </c>
      <c r="G144" s="511">
        <f t="shared" si="24"/>
        <v>0</v>
      </c>
      <c r="H144" s="646">
        <f t="shared" si="27"/>
        <v>0</v>
      </c>
      <c r="I144" s="573">
        <f t="shared" si="25"/>
        <v>0</v>
      </c>
      <c r="J144" s="505">
        <f t="shared" si="21"/>
        <v>0</v>
      </c>
      <c r="K144" s="505"/>
      <c r="L144" s="513"/>
      <c r="M144" s="505">
        <f t="shared" si="28"/>
        <v>0</v>
      </c>
      <c r="N144" s="513"/>
      <c r="O144" s="505">
        <f t="shared" si="29"/>
        <v>0</v>
      </c>
      <c r="P144" s="505">
        <f t="shared" si="30"/>
        <v>0</v>
      </c>
      <c r="Q144" s="244"/>
      <c r="R144" s="244"/>
      <c r="S144" s="244"/>
      <c r="T144" s="244"/>
      <c r="U144" s="244"/>
    </row>
    <row r="145" spans="2:21" ht="12.5">
      <c r="B145" s="145" t="str">
        <f t="shared" si="15"/>
        <v/>
      </c>
      <c r="C145" s="496">
        <f>IF(D94="","-",+C144+1)</f>
        <v>2059</v>
      </c>
      <c r="D145" s="350">
        <f>IF(F144+SUM(E$100:E144)=D$93,F144,D$93-SUM(E$100:E144))</f>
        <v>0</v>
      </c>
      <c r="E145" s="510">
        <f t="shared" si="22"/>
        <v>0</v>
      </c>
      <c r="F145" s="511">
        <f t="shared" si="23"/>
        <v>0</v>
      </c>
      <c r="G145" s="511">
        <f t="shared" si="24"/>
        <v>0</v>
      </c>
      <c r="H145" s="646">
        <f t="shared" si="27"/>
        <v>0</v>
      </c>
      <c r="I145" s="573">
        <f t="shared" si="25"/>
        <v>0</v>
      </c>
      <c r="J145" s="505">
        <f t="shared" si="21"/>
        <v>0</v>
      </c>
      <c r="K145" s="505"/>
      <c r="L145" s="513"/>
      <c r="M145" s="505">
        <f t="shared" si="28"/>
        <v>0</v>
      </c>
      <c r="N145" s="513"/>
      <c r="O145" s="505">
        <f t="shared" si="29"/>
        <v>0</v>
      </c>
      <c r="P145" s="505">
        <f t="shared" si="30"/>
        <v>0</v>
      </c>
      <c r="Q145" s="244"/>
      <c r="R145" s="244"/>
      <c r="S145" s="244"/>
      <c r="T145" s="244"/>
      <c r="U145" s="244"/>
    </row>
    <row r="146" spans="2:21" ht="12.5">
      <c r="B146" s="145" t="str">
        <f t="shared" si="15"/>
        <v/>
      </c>
      <c r="C146" s="496">
        <f>IF(D94="","-",+C145+1)</f>
        <v>2060</v>
      </c>
      <c r="D146" s="350">
        <f>IF(F145+SUM(E$100:E145)=D$93,F145,D$93-SUM(E$100:E145))</f>
        <v>0</v>
      </c>
      <c r="E146" s="510">
        <f t="shared" si="22"/>
        <v>0</v>
      </c>
      <c r="F146" s="511">
        <f t="shared" si="23"/>
        <v>0</v>
      </c>
      <c r="G146" s="511">
        <f t="shared" si="24"/>
        <v>0</v>
      </c>
      <c r="H146" s="646">
        <f t="shared" si="27"/>
        <v>0</v>
      </c>
      <c r="I146" s="573">
        <f t="shared" si="25"/>
        <v>0</v>
      </c>
      <c r="J146" s="505">
        <f t="shared" si="21"/>
        <v>0</v>
      </c>
      <c r="K146" s="505"/>
      <c r="L146" s="513"/>
      <c r="M146" s="505">
        <f t="shared" si="28"/>
        <v>0</v>
      </c>
      <c r="N146" s="513"/>
      <c r="O146" s="505">
        <f t="shared" si="29"/>
        <v>0</v>
      </c>
      <c r="P146" s="505">
        <f t="shared" si="30"/>
        <v>0</v>
      </c>
      <c r="Q146" s="244"/>
      <c r="R146" s="244"/>
      <c r="S146" s="244"/>
      <c r="T146" s="244"/>
      <c r="U146" s="244"/>
    </row>
    <row r="147" spans="2:21" ht="12.5">
      <c r="B147" s="145" t="str">
        <f t="shared" si="15"/>
        <v/>
      </c>
      <c r="C147" s="496">
        <f>IF(D94="","-",+C146+1)</f>
        <v>2061</v>
      </c>
      <c r="D147" s="350">
        <f>IF(F146+SUM(E$100:E146)=D$93,F146,D$93-SUM(E$100:E146))</f>
        <v>0</v>
      </c>
      <c r="E147" s="510">
        <f t="shared" si="22"/>
        <v>0</v>
      </c>
      <c r="F147" s="511">
        <f t="shared" si="23"/>
        <v>0</v>
      </c>
      <c r="G147" s="511">
        <f t="shared" si="24"/>
        <v>0</v>
      </c>
      <c r="H147" s="646">
        <f t="shared" si="27"/>
        <v>0</v>
      </c>
      <c r="I147" s="573">
        <f t="shared" si="25"/>
        <v>0</v>
      </c>
      <c r="J147" s="505">
        <f t="shared" si="21"/>
        <v>0</v>
      </c>
      <c r="K147" s="505"/>
      <c r="L147" s="513"/>
      <c r="M147" s="505">
        <f t="shared" si="28"/>
        <v>0</v>
      </c>
      <c r="N147" s="513"/>
      <c r="O147" s="505">
        <f t="shared" si="29"/>
        <v>0</v>
      </c>
      <c r="P147" s="505">
        <f t="shared" si="30"/>
        <v>0</v>
      </c>
      <c r="Q147" s="244"/>
      <c r="R147" s="244"/>
      <c r="S147" s="244"/>
      <c r="T147" s="244"/>
      <c r="U147" s="244"/>
    </row>
    <row r="148" spans="2:21" ht="12.5">
      <c r="B148" s="145" t="str">
        <f t="shared" si="15"/>
        <v/>
      </c>
      <c r="C148" s="496">
        <f>IF(D94="","-",+C147+1)</f>
        <v>2062</v>
      </c>
      <c r="D148" s="350">
        <f>IF(F147+SUM(E$100:E147)=D$93,F147,D$93-SUM(E$100:E147))</f>
        <v>0</v>
      </c>
      <c r="E148" s="510">
        <f t="shared" si="22"/>
        <v>0</v>
      </c>
      <c r="F148" s="511">
        <f t="shared" si="23"/>
        <v>0</v>
      </c>
      <c r="G148" s="511">
        <f t="shared" si="24"/>
        <v>0</v>
      </c>
      <c r="H148" s="646">
        <f t="shared" si="27"/>
        <v>0</v>
      </c>
      <c r="I148" s="573">
        <f t="shared" si="25"/>
        <v>0</v>
      </c>
      <c r="J148" s="505">
        <f t="shared" si="21"/>
        <v>0</v>
      </c>
      <c r="K148" s="505"/>
      <c r="L148" s="513"/>
      <c r="M148" s="505">
        <f t="shared" si="28"/>
        <v>0</v>
      </c>
      <c r="N148" s="513"/>
      <c r="O148" s="505">
        <f t="shared" si="29"/>
        <v>0</v>
      </c>
      <c r="P148" s="505">
        <f t="shared" si="30"/>
        <v>0</v>
      </c>
      <c r="Q148" s="244"/>
      <c r="R148" s="244"/>
      <c r="S148" s="244"/>
      <c r="T148" s="244"/>
      <c r="U148" s="244"/>
    </row>
    <row r="149" spans="2:21" ht="12.5">
      <c r="B149" s="145" t="str">
        <f t="shared" si="15"/>
        <v/>
      </c>
      <c r="C149" s="496">
        <f>IF(D94="","-",+C148+1)</f>
        <v>2063</v>
      </c>
      <c r="D149" s="350">
        <f>IF(F148+SUM(E$100:E148)=D$93,F148,D$93-SUM(E$100:E148))</f>
        <v>0</v>
      </c>
      <c r="E149" s="510">
        <f t="shared" si="22"/>
        <v>0</v>
      </c>
      <c r="F149" s="511">
        <f t="shared" si="23"/>
        <v>0</v>
      </c>
      <c r="G149" s="511">
        <f t="shared" si="24"/>
        <v>0</v>
      </c>
      <c r="H149" s="646">
        <f t="shared" si="27"/>
        <v>0</v>
      </c>
      <c r="I149" s="573">
        <f t="shared" si="25"/>
        <v>0</v>
      </c>
      <c r="J149" s="505">
        <f t="shared" si="21"/>
        <v>0</v>
      </c>
      <c r="K149" s="505"/>
      <c r="L149" s="513"/>
      <c r="M149" s="505">
        <f t="shared" si="28"/>
        <v>0</v>
      </c>
      <c r="N149" s="513"/>
      <c r="O149" s="505">
        <f t="shared" si="29"/>
        <v>0</v>
      </c>
      <c r="P149" s="505">
        <f t="shared" si="30"/>
        <v>0</v>
      </c>
      <c r="Q149" s="244"/>
      <c r="R149" s="244"/>
      <c r="S149" s="244"/>
      <c r="T149" s="244"/>
      <c r="U149" s="244"/>
    </row>
    <row r="150" spans="2:21" ht="12.5">
      <c r="B150" s="145" t="str">
        <f t="shared" si="15"/>
        <v/>
      </c>
      <c r="C150" s="496">
        <f>IF(D94="","-",+C149+1)</f>
        <v>2064</v>
      </c>
      <c r="D150" s="350">
        <f>IF(F149+SUM(E$100:E149)=D$93,F149,D$93-SUM(E$100:E149))</f>
        <v>0</v>
      </c>
      <c r="E150" s="510">
        <f t="shared" si="22"/>
        <v>0</v>
      </c>
      <c r="F150" s="511">
        <f t="shared" si="23"/>
        <v>0</v>
      </c>
      <c r="G150" s="511">
        <f t="shared" si="24"/>
        <v>0</v>
      </c>
      <c r="H150" s="646">
        <f t="shared" si="27"/>
        <v>0</v>
      </c>
      <c r="I150" s="573">
        <f t="shared" si="25"/>
        <v>0</v>
      </c>
      <c r="J150" s="505">
        <f t="shared" si="21"/>
        <v>0</v>
      </c>
      <c r="K150" s="505"/>
      <c r="L150" s="513"/>
      <c r="M150" s="505">
        <f t="shared" si="28"/>
        <v>0</v>
      </c>
      <c r="N150" s="513"/>
      <c r="O150" s="505">
        <f t="shared" si="29"/>
        <v>0</v>
      </c>
      <c r="P150" s="505">
        <f t="shared" si="30"/>
        <v>0</v>
      </c>
      <c r="Q150" s="244"/>
      <c r="R150" s="244"/>
      <c r="S150" s="244"/>
      <c r="T150" s="244"/>
      <c r="U150" s="244"/>
    </row>
    <row r="151" spans="2:21" ht="12.5">
      <c r="B151" s="145" t="str">
        <f t="shared" si="15"/>
        <v/>
      </c>
      <c r="C151" s="496">
        <f>IF(D94="","-",+C150+1)</f>
        <v>2065</v>
      </c>
      <c r="D151" s="350">
        <f>IF(F150+SUM(E$100:E150)=D$93,F150,D$93-SUM(E$100:E150))</f>
        <v>0</v>
      </c>
      <c r="E151" s="510">
        <f t="shared" si="22"/>
        <v>0</v>
      </c>
      <c r="F151" s="511">
        <f t="shared" si="23"/>
        <v>0</v>
      </c>
      <c r="G151" s="511">
        <f t="shared" si="24"/>
        <v>0</v>
      </c>
      <c r="H151" s="646">
        <f t="shared" si="27"/>
        <v>0</v>
      </c>
      <c r="I151" s="573">
        <f t="shared" si="25"/>
        <v>0</v>
      </c>
      <c r="J151" s="505">
        <f t="shared" si="21"/>
        <v>0</v>
      </c>
      <c r="K151" s="505"/>
      <c r="L151" s="513"/>
      <c r="M151" s="505">
        <f t="shared" si="28"/>
        <v>0</v>
      </c>
      <c r="N151" s="513"/>
      <c r="O151" s="505">
        <f t="shared" si="29"/>
        <v>0</v>
      </c>
      <c r="P151" s="505">
        <f t="shared" si="30"/>
        <v>0</v>
      </c>
      <c r="Q151" s="244"/>
      <c r="R151" s="244"/>
      <c r="S151" s="244"/>
      <c r="T151" s="244"/>
      <c r="U151" s="244"/>
    </row>
    <row r="152" spans="2:21" ht="12.5">
      <c r="B152" s="145" t="str">
        <f t="shared" si="15"/>
        <v/>
      </c>
      <c r="C152" s="496">
        <f>IF(D94="","-",+C151+1)</f>
        <v>2066</v>
      </c>
      <c r="D152" s="350">
        <f>IF(F151+SUM(E$100:E151)=D$93,F151,D$93-SUM(E$100:E151))</f>
        <v>0</v>
      </c>
      <c r="E152" s="510">
        <f t="shared" si="22"/>
        <v>0</v>
      </c>
      <c r="F152" s="511">
        <f t="shared" si="23"/>
        <v>0</v>
      </c>
      <c r="G152" s="511">
        <f t="shared" si="24"/>
        <v>0</v>
      </c>
      <c r="H152" s="646">
        <f t="shared" si="27"/>
        <v>0</v>
      </c>
      <c r="I152" s="573">
        <f t="shared" si="25"/>
        <v>0</v>
      </c>
      <c r="J152" s="505">
        <f t="shared" si="21"/>
        <v>0</v>
      </c>
      <c r="K152" s="505"/>
      <c r="L152" s="513"/>
      <c r="M152" s="505">
        <f t="shared" si="28"/>
        <v>0</v>
      </c>
      <c r="N152" s="513"/>
      <c r="O152" s="505">
        <f t="shared" si="29"/>
        <v>0</v>
      </c>
      <c r="P152" s="505">
        <f t="shared" si="30"/>
        <v>0</v>
      </c>
      <c r="Q152" s="244"/>
      <c r="R152" s="244"/>
      <c r="S152" s="244"/>
      <c r="T152" s="244"/>
      <c r="U152" s="244"/>
    </row>
    <row r="153" spans="2:21" ht="12.5">
      <c r="B153" s="145" t="str">
        <f t="shared" si="15"/>
        <v/>
      </c>
      <c r="C153" s="496">
        <f>IF(D94="","-",+C152+1)</f>
        <v>2067</v>
      </c>
      <c r="D153" s="350">
        <f>IF(F152+SUM(E$100:E152)=D$93,F152,D$93-SUM(E$100:E152))</f>
        <v>0</v>
      </c>
      <c r="E153" s="510">
        <f t="shared" si="22"/>
        <v>0</v>
      </c>
      <c r="F153" s="511">
        <f t="shared" si="23"/>
        <v>0</v>
      </c>
      <c r="G153" s="511">
        <f t="shared" si="24"/>
        <v>0</v>
      </c>
      <c r="H153" s="646">
        <f t="shared" si="27"/>
        <v>0</v>
      </c>
      <c r="I153" s="573">
        <f t="shared" si="25"/>
        <v>0</v>
      </c>
      <c r="J153" s="505">
        <f t="shared" si="21"/>
        <v>0</v>
      </c>
      <c r="K153" s="505"/>
      <c r="L153" s="513"/>
      <c r="M153" s="505">
        <f t="shared" si="28"/>
        <v>0</v>
      </c>
      <c r="N153" s="513"/>
      <c r="O153" s="505">
        <f t="shared" si="29"/>
        <v>0</v>
      </c>
      <c r="P153" s="505">
        <f t="shared" si="30"/>
        <v>0</v>
      </c>
      <c r="Q153" s="244"/>
      <c r="R153" s="244"/>
      <c r="S153" s="244"/>
      <c r="T153" s="244"/>
      <c r="U153" s="244"/>
    </row>
    <row r="154" spans="2:21" ht="12.5">
      <c r="B154" s="145" t="str">
        <f t="shared" si="15"/>
        <v/>
      </c>
      <c r="C154" s="496">
        <f>IF(D94="","-",+C153+1)</f>
        <v>2068</v>
      </c>
      <c r="D154" s="350">
        <f>IF(F153+SUM(E$100:E153)=D$93,F153,D$93-SUM(E$100:E153))</f>
        <v>0</v>
      </c>
      <c r="E154" s="510">
        <f t="shared" si="22"/>
        <v>0</v>
      </c>
      <c r="F154" s="511">
        <f t="shared" si="23"/>
        <v>0</v>
      </c>
      <c r="G154" s="511">
        <f t="shared" si="24"/>
        <v>0</v>
      </c>
      <c r="H154" s="646">
        <f t="shared" si="27"/>
        <v>0</v>
      </c>
      <c r="I154" s="573">
        <f t="shared" si="25"/>
        <v>0</v>
      </c>
      <c r="J154" s="505">
        <f t="shared" si="21"/>
        <v>0</v>
      </c>
      <c r="K154" s="505"/>
      <c r="L154" s="513"/>
      <c r="M154" s="505">
        <f t="shared" si="28"/>
        <v>0</v>
      </c>
      <c r="N154" s="513"/>
      <c r="O154" s="505">
        <f t="shared" si="29"/>
        <v>0</v>
      </c>
      <c r="P154" s="505">
        <f t="shared" si="30"/>
        <v>0</v>
      </c>
      <c r="Q154" s="244"/>
      <c r="R154" s="244"/>
      <c r="S154" s="244"/>
      <c r="T154" s="244"/>
      <c r="U154" s="244"/>
    </row>
    <row r="155" spans="2:21" ht="13" thickBot="1">
      <c r="B155" s="145" t="str">
        <f t="shared" si="15"/>
        <v/>
      </c>
      <c r="C155" s="525">
        <f>IF(D94="","-",+C154+1)</f>
        <v>2069</v>
      </c>
      <c r="D155" s="619">
        <f>IF(F154+SUM(E$100:E154)=D$93,F154,D$93-SUM(E$100:E154))</f>
        <v>0</v>
      </c>
      <c r="E155" s="527">
        <f t="shared" si="22"/>
        <v>0</v>
      </c>
      <c r="F155" s="528">
        <f t="shared" si="23"/>
        <v>0</v>
      </c>
      <c r="G155" s="528">
        <f t="shared" si="24"/>
        <v>0</v>
      </c>
      <c r="H155" s="646">
        <f t="shared" si="27"/>
        <v>0</v>
      </c>
      <c r="I155" s="574">
        <f t="shared" si="25"/>
        <v>0</v>
      </c>
      <c r="J155" s="532">
        <f t="shared" si="21"/>
        <v>0</v>
      </c>
      <c r="K155" s="505"/>
      <c r="L155" s="531"/>
      <c r="M155" s="532">
        <f t="shared" si="28"/>
        <v>0</v>
      </c>
      <c r="N155" s="531"/>
      <c r="O155" s="532">
        <f t="shared" si="29"/>
        <v>0</v>
      </c>
      <c r="P155" s="532">
        <f t="shared" si="30"/>
        <v>0</v>
      </c>
      <c r="Q155" s="244"/>
      <c r="R155" s="244"/>
      <c r="S155" s="244"/>
      <c r="T155" s="244"/>
      <c r="U155" s="244"/>
    </row>
    <row r="156" spans="2:21" ht="12.5">
      <c r="C156" s="350" t="s">
        <v>75</v>
      </c>
      <c r="D156" s="295"/>
      <c r="E156" s="295">
        <f>SUM(E100:E155)</f>
        <v>10218097.999999998</v>
      </c>
      <c r="F156" s="295"/>
      <c r="G156" s="295"/>
      <c r="H156" s="295">
        <f>SUM(H100:H155)</f>
        <v>27493889.288406286</v>
      </c>
      <c r="I156" s="295">
        <f>SUM(I100:I155)</f>
        <v>27493889.288406286</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8" priority="1" stopIfTrue="1" operator="equal">
      <formula>$I$10</formula>
    </cfRule>
  </conditionalFormatting>
  <conditionalFormatting sqref="C100:C155">
    <cfRule type="cellIs" dxfId="3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8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225892.94644088054</v>
      </c>
      <c r="P5" s="244"/>
      <c r="R5" s="244"/>
      <c r="S5" s="244"/>
      <c r="T5" s="244"/>
      <c r="U5" s="244"/>
    </row>
    <row r="6" spans="1:21" ht="15.5">
      <c r="C6" s="236"/>
      <c r="D6" s="293"/>
      <c r="E6" s="244"/>
      <c r="F6" s="244"/>
      <c r="G6" s="244"/>
      <c r="H6" s="450"/>
      <c r="I6" s="450"/>
      <c r="J6" s="451"/>
      <c r="K6" s="452" t="s">
        <v>243</v>
      </c>
      <c r="L6" s="453"/>
      <c r="M6" s="279"/>
      <c r="N6" s="454">
        <f>VLOOKUP(I10,C17:I73,6)</f>
        <v>225892.94644088054</v>
      </c>
      <c r="O6" s="244"/>
      <c r="P6" s="244"/>
      <c r="R6" s="244"/>
      <c r="S6" s="244"/>
      <c r="T6" s="244"/>
      <c r="U6" s="244"/>
    </row>
    <row r="7" spans="1:21" ht="13.5" thickBot="1">
      <c r="C7" s="455" t="s">
        <v>46</v>
      </c>
      <c r="D7" s="456" t="s">
        <v>215</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260</v>
      </c>
      <c r="E9" s="466"/>
      <c r="F9" s="466"/>
      <c r="G9" s="466"/>
      <c r="H9" s="466"/>
      <c r="I9" s="467"/>
      <c r="J9" s="468"/>
      <c r="O9" s="469"/>
      <c r="P9" s="279"/>
      <c r="R9" s="244"/>
      <c r="S9" s="244"/>
      <c r="T9" s="244"/>
      <c r="U9" s="244"/>
    </row>
    <row r="10" spans="1:21" ht="13">
      <c r="C10" s="470" t="s">
        <v>49</v>
      </c>
      <c r="D10" s="471">
        <v>1864625.01</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54841.912058823531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669000</v>
      </c>
      <c r="E17" s="498">
        <v>5786.5857813386465</v>
      </c>
      <c r="F17" s="497">
        <v>663213.41421866138</v>
      </c>
      <c r="G17" s="498">
        <v>48353.352128136466</v>
      </c>
      <c r="H17" s="500">
        <v>48353.352128136466</v>
      </c>
      <c r="I17" s="501">
        <v>0</v>
      </c>
      <c r="J17" s="501"/>
      <c r="K17" s="502">
        <f t="shared" ref="K17:K22" si="1">G17</f>
        <v>48353.352128136466</v>
      </c>
      <c r="L17" s="503">
        <f t="shared" ref="L17:L22" si="2">IF(K17&lt;&gt;0,+G17-K17,0)</f>
        <v>0</v>
      </c>
      <c r="M17" s="502">
        <f t="shared" ref="M17:M22" si="3">H17</f>
        <v>48353.352128136466</v>
      </c>
      <c r="N17" s="504">
        <f>IF(M17&lt;&gt;0,+H17-M17,0)</f>
        <v>0</v>
      </c>
      <c r="O17" s="505">
        <f>+N17-L17</f>
        <v>0</v>
      </c>
      <c r="P17" s="279"/>
      <c r="R17" s="244"/>
      <c r="S17" s="244"/>
      <c r="T17" s="244"/>
      <c r="U17" s="244"/>
    </row>
    <row r="18" spans="2:21" ht="12.5">
      <c r="B18" s="145" t="str">
        <f t="shared" si="0"/>
        <v/>
      </c>
      <c r="C18" s="496">
        <f>IF(D11="","-",+C17+1)</f>
        <v>2015</v>
      </c>
      <c r="D18" s="615">
        <v>663213.41421866138</v>
      </c>
      <c r="E18" s="614">
        <v>32256.539821806971</v>
      </c>
      <c r="F18" s="615">
        <v>630956.87439685443</v>
      </c>
      <c r="G18" s="614">
        <v>97286.386538537452</v>
      </c>
      <c r="H18" s="618">
        <v>97286.386538537452</v>
      </c>
      <c r="I18" s="501">
        <v>0</v>
      </c>
      <c r="J18" s="501"/>
      <c r="K18" s="507">
        <f t="shared" si="1"/>
        <v>97286.386538537452</v>
      </c>
      <c r="L18" s="508">
        <f t="shared" si="2"/>
        <v>0</v>
      </c>
      <c r="M18" s="507">
        <f t="shared" si="3"/>
        <v>97286.386538537452</v>
      </c>
      <c r="N18" s="505">
        <f>IF(M18&lt;&gt;0,+H18-M18,0)</f>
        <v>0</v>
      </c>
      <c r="O18" s="505">
        <f>+N18-L18</f>
        <v>0</v>
      </c>
      <c r="P18" s="279"/>
      <c r="R18" s="244"/>
      <c r="S18" s="244"/>
      <c r="T18" s="244"/>
      <c r="U18" s="244"/>
    </row>
    <row r="19" spans="2:21" ht="12.5">
      <c r="B19" s="145" t="str">
        <f t="shared" si="0"/>
        <v>IU</v>
      </c>
      <c r="C19" s="496">
        <f>IF(D11="","-",+C18+1)</f>
        <v>2016</v>
      </c>
      <c r="D19" s="615">
        <v>1826581.8843968543</v>
      </c>
      <c r="E19" s="614">
        <v>38745.889906300305</v>
      </c>
      <c r="F19" s="615">
        <v>1787835.9944905541</v>
      </c>
      <c r="G19" s="614">
        <v>231618.29862330039</v>
      </c>
      <c r="H19" s="618">
        <v>231618.29862330039</v>
      </c>
      <c r="I19" s="501">
        <f>H19-G19</f>
        <v>0</v>
      </c>
      <c r="J19" s="501"/>
      <c r="K19" s="507">
        <f t="shared" si="1"/>
        <v>231618.29862330039</v>
      </c>
      <c r="L19" s="508">
        <f t="shared" si="2"/>
        <v>0</v>
      </c>
      <c r="M19" s="507">
        <f t="shared" si="3"/>
        <v>231618.29862330039</v>
      </c>
      <c r="N19" s="505">
        <f t="shared" ref="N19:N73" si="4">IF(M19&lt;&gt;0,+H19-M19,0)</f>
        <v>0</v>
      </c>
      <c r="O19" s="505">
        <f t="shared" ref="O19:O73" si="5">+N19-L19</f>
        <v>0</v>
      </c>
      <c r="P19" s="279"/>
      <c r="R19" s="244"/>
      <c r="S19" s="244"/>
      <c r="T19" s="244"/>
      <c r="U19" s="244"/>
    </row>
    <row r="20" spans="2:21" ht="12.5">
      <c r="B20" s="145" t="str">
        <f t="shared" si="0"/>
        <v/>
      </c>
      <c r="C20" s="496">
        <f>IF(D11="","-",+C19+1)</f>
        <v>2017</v>
      </c>
      <c r="D20" s="615">
        <v>1787835.9944905541</v>
      </c>
      <c r="E20" s="614">
        <v>36662.21925080863</v>
      </c>
      <c r="F20" s="615">
        <v>1751173.7752397454</v>
      </c>
      <c r="G20" s="614">
        <v>231201.53737593384</v>
      </c>
      <c r="H20" s="618">
        <v>231201.53737593384</v>
      </c>
      <c r="I20" s="501">
        <f t="shared" ref="I20:I73" si="6">H20-G20</f>
        <v>0</v>
      </c>
      <c r="J20" s="501"/>
      <c r="K20" s="507">
        <f t="shared" si="1"/>
        <v>231201.53737593384</v>
      </c>
      <c r="L20" s="508">
        <f t="shared" si="2"/>
        <v>0</v>
      </c>
      <c r="M20" s="507">
        <f t="shared" si="3"/>
        <v>231201.53737593384</v>
      </c>
      <c r="N20" s="505">
        <f>IF(M20&lt;&gt;0,+H20-M20,0)</f>
        <v>0</v>
      </c>
      <c r="O20" s="505">
        <f>+N20-L20</f>
        <v>0</v>
      </c>
      <c r="P20" s="279"/>
      <c r="R20" s="244"/>
      <c r="S20" s="244"/>
      <c r="T20" s="244"/>
      <c r="U20" s="244"/>
    </row>
    <row r="21" spans="2:21" ht="12.5">
      <c r="B21" s="145" t="str">
        <f t="shared" si="0"/>
        <v/>
      </c>
      <c r="C21" s="496">
        <f>IF(D11="","-",+C20+1)</f>
        <v>2018</v>
      </c>
      <c r="D21" s="615">
        <v>1751173.7752397454</v>
      </c>
      <c r="E21" s="614">
        <v>45729.148838219895</v>
      </c>
      <c r="F21" s="615">
        <v>1705444.6264015255</v>
      </c>
      <c r="G21" s="614">
        <v>248789.97176998571</v>
      </c>
      <c r="H21" s="618">
        <v>248789.97176998571</v>
      </c>
      <c r="I21" s="501">
        <v>0</v>
      </c>
      <c r="J21" s="501"/>
      <c r="K21" s="507">
        <f t="shared" si="1"/>
        <v>248789.97176998571</v>
      </c>
      <c r="L21" s="508">
        <f t="shared" si="2"/>
        <v>0</v>
      </c>
      <c r="M21" s="507">
        <f t="shared" si="3"/>
        <v>248789.97176998571</v>
      </c>
      <c r="N21" s="505">
        <f>IF(M21&lt;&gt;0,+H21-M21,0)</f>
        <v>0</v>
      </c>
      <c r="O21" s="505">
        <f>+N21-L21</f>
        <v>0</v>
      </c>
      <c r="P21" s="279"/>
      <c r="R21" s="244"/>
      <c r="S21" s="244"/>
      <c r="T21" s="244"/>
      <c r="U21" s="244"/>
    </row>
    <row r="22" spans="2:21" ht="12.5">
      <c r="B22" s="145" t="str">
        <f t="shared" si="0"/>
        <v/>
      </c>
      <c r="C22" s="496">
        <f>IF(D11="","-",+C21+1)</f>
        <v>2019</v>
      </c>
      <c r="D22" s="615">
        <v>1705444.6264015255</v>
      </c>
      <c r="E22" s="614">
        <v>45729.148838219895</v>
      </c>
      <c r="F22" s="615">
        <v>1659715.4775633055</v>
      </c>
      <c r="G22" s="614">
        <v>243417.20711036975</v>
      </c>
      <c r="H22" s="618">
        <v>243417.20711036975</v>
      </c>
      <c r="I22" s="501">
        <f t="shared" si="6"/>
        <v>0</v>
      </c>
      <c r="J22" s="501"/>
      <c r="K22" s="507">
        <f t="shared" si="1"/>
        <v>243417.20711036975</v>
      </c>
      <c r="L22" s="508">
        <f t="shared" si="2"/>
        <v>0</v>
      </c>
      <c r="M22" s="507">
        <f t="shared" si="3"/>
        <v>243417.20711036975</v>
      </c>
      <c r="N22" s="505">
        <f>IF(M22&lt;&gt;0,+H22-M22,0)</f>
        <v>0</v>
      </c>
      <c r="O22" s="505">
        <f>+N22-L22</f>
        <v>0</v>
      </c>
      <c r="P22" s="279"/>
      <c r="R22" s="244"/>
      <c r="S22" s="244"/>
      <c r="T22" s="244"/>
      <c r="U22" s="244"/>
    </row>
    <row r="23" spans="2:21" ht="12.5">
      <c r="B23" s="145" t="str">
        <f t="shared" si="0"/>
        <v/>
      </c>
      <c r="C23" s="496">
        <f>IF(D11="","-",+C22+1)</f>
        <v>2020</v>
      </c>
      <c r="D23" s="615">
        <v>1659715.4775633055</v>
      </c>
      <c r="E23" s="614">
        <v>54599.54020149546</v>
      </c>
      <c r="F23" s="615">
        <v>1605115.9373618101</v>
      </c>
      <c r="G23" s="614">
        <v>225892.94644088054</v>
      </c>
      <c r="H23" s="618">
        <v>225892.94644088054</v>
      </c>
      <c r="I23" s="501">
        <f t="shared" si="6"/>
        <v>0</v>
      </c>
      <c r="J23" s="501"/>
      <c r="K23" s="507">
        <f t="shared" ref="K23" si="7">G23</f>
        <v>225892.94644088054</v>
      </c>
      <c r="L23" s="508">
        <f t="shared" ref="L23" si="8">IF(K23&lt;&gt;0,+G23-K23,0)</f>
        <v>0</v>
      </c>
      <c r="M23" s="507">
        <f t="shared" ref="M23" si="9">H23</f>
        <v>225892.94644088054</v>
      </c>
      <c r="N23" s="505">
        <f t="shared" si="4"/>
        <v>0</v>
      </c>
      <c r="O23" s="505">
        <f t="shared" si="5"/>
        <v>0</v>
      </c>
      <c r="P23" s="279"/>
      <c r="R23" s="244"/>
      <c r="S23" s="244"/>
      <c r="T23" s="244"/>
      <c r="U23" s="244"/>
    </row>
    <row r="24" spans="2:21" ht="12.5">
      <c r="B24" s="145" t="str">
        <f t="shared" si="0"/>
        <v/>
      </c>
      <c r="C24" s="496">
        <f>IF(D11="","-",+C23+1)</f>
        <v>2021</v>
      </c>
      <c r="D24" s="509">
        <f>IF(F23+SUM(E$17:E23)=D$10,F23,D$10-SUM(E$17:E23))</f>
        <v>1605115.9373618101</v>
      </c>
      <c r="E24" s="510">
        <f t="shared" ref="E24:E73" si="10">IF(+$I$14&lt;F23,$I$14,D24)</f>
        <v>54841.912058823531</v>
      </c>
      <c r="F24" s="511">
        <f t="shared" ref="F24:F73" si="11">+D24-E24</f>
        <v>1550274.0253029866</v>
      </c>
      <c r="G24" s="512">
        <f t="shared" ref="G24:G73" si="12">(D24+F24)/2*I$12+E24</f>
        <v>222735.71358387059</v>
      </c>
      <c r="H24" s="478">
        <f t="shared" ref="H24:H73" si="13">+(D24+F24)/2*I$13+E24</f>
        <v>222735.71358387059</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1550274.0253029866</v>
      </c>
      <c r="E25" s="510">
        <f t="shared" si="10"/>
        <v>54841.912058823531</v>
      </c>
      <c r="F25" s="511">
        <f t="shared" si="11"/>
        <v>1495432.1132441631</v>
      </c>
      <c r="G25" s="512">
        <f t="shared" si="12"/>
        <v>216899.59367006939</v>
      </c>
      <c r="H25" s="478">
        <f t="shared" si="13"/>
        <v>216899.59367006939</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1495432.1132441631</v>
      </c>
      <c r="E26" s="510">
        <f t="shared" si="10"/>
        <v>54841.912058823531</v>
      </c>
      <c r="F26" s="511">
        <f t="shared" si="11"/>
        <v>1440590.2011853396</v>
      </c>
      <c r="G26" s="512">
        <f t="shared" si="12"/>
        <v>211063.47375626821</v>
      </c>
      <c r="H26" s="478">
        <f t="shared" si="13"/>
        <v>211063.47375626821</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1440590.2011853396</v>
      </c>
      <c r="E27" s="510">
        <f t="shared" si="10"/>
        <v>54841.912058823531</v>
      </c>
      <c r="F27" s="511">
        <f t="shared" si="11"/>
        <v>1385748.2891265161</v>
      </c>
      <c r="G27" s="512">
        <f t="shared" si="12"/>
        <v>205227.35384246701</v>
      </c>
      <c r="H27" s="478">
        <f t="shared" si="13"/>
        <v>205227.35384246701</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1385748.2891265161</v>
      </c>
      <c r="E28" s="510">
        <f t="shared" si="10"/>
        <v>54841.912058823531</v>
      </c>
      <c r="F28" s="511">
        <f t="shared" si="11"/>
        <v>1330906.3770676926</v>
      </c>
      <c r="G28" s="512">
        <f t="shared" si="12"/>
        <v>199391.23392866584</v>
      </c>
      <c r="H28" s="478">
        <f t="shared" si="13"/>
        <v>199391.23392866584</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1330906.3770676926</v>
      </c>
      <c r="E29" s="510">
        <f t="shared" si="10"/>
        <v>54841.912058823531</v>
      </c>
      <c r="F29" s="511">
        <f t="shared" si="11"/>
        <v>1276064.4650088691</v>
      </c>
      <c r="G29" s="512">
        <f t="shared" si="12"/>
        <v>193555.11401486464</v>
      </c>
      <c r="H29" s="478">
        <f t="shared" si="13"/>
        <v>193555.11401486464</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1276064.4650088691</v>
      </c>
      <c r="E30" s="510">
        <f t="shared" si="10"/>
        <v>54841.912058823531</v>
      </c>
      <c r="F30" s="511">
        <f t="shared" si="11"/>
        <v>1221222.5529500456</v>
      </c>
      <c r="G30" s="512">
        <f t="shared" si="12"/>
        <v>187718.99410106346</v>
      </c>
      <c r="H30" s="478">
        <f t="shared" si="13"/>
        <v>187718.99410106346</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1221222.5529500456</v>
      </c>
      <c r="E31" s="510">
        <f t="shared" si="10"/>
        <v>54841.912058823531</v>
      </c>
      <c r="F31" s="511">
        <f t="shared" si="11"/>
        <v>1166380.6408912221</v>
      </c>
      <c r="G31" s="512">
        <f t="shared" si="12"/>
        <v>181882.87418726226</v>
      </c>
      <c r="H31" s="478">
        <f t="shared" si="13"/>
        <v>181882.87418726226</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1166380.6408912221</v>
      </c>
      <c r="E32" s="510">
        <f>IF(+$I$14&lt;F31,$I$14,D32)</f>
        <v>54841.912058823531</v>
      </c>
      <c r="F32" s="511">
        <f>+D32-E32</f>
        <v>1111538.7288323985</v>
      </c>
      <c r="G32" s="512">
        <f t="shared" si="12"/>
        <v>176046.75427346109</v>
      </c>
      <c r="H32" s="478">
        <f t="shared" si="13"/>
        <v>176046.75427346109</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1111538.7288323985</v>
      </c>
      <c r="E33" s="510">
        <f>IF(+$I$14&lt;F32,$I$14,D33)</f>
        <v>54841.912058823531</v>
      </c>
      <c r="F33" s="511">
        <f>+D33-E33</f>
        <v>1056696.816773575</v>
      </c>
      <c r="G33" s="512">
        <f t="shared" si="12"/>
        <v>170210.63435965989</v>
      </c>
      <c r="H33" s="478">
        <f t="shared" si="13"/>
        <v>170210.63435965989</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1056696.816773575</v>
      </c>
      <c r="E34" s="516">
        <f t="shared" si="10"/>
        <v>54841.912058823531</v>
      </c>
      <c r="F34" s="517">
        <f t="shared" si="11"/>
        <v>1001854.9047147515</v>
      </c>
      <c r="G34" s="518">
        <f t="shared" si="12"/>
        <v>164374.51444585872</v>
      </c>
      <c r="H34" s="519">
        <f t="shared" si="13"/>
        <v>164374.51444585872</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1001854.9047147515</v>
      </c>
      <c r="E35" s="510">
        <f t="shared" si="10"/>
        <v>54841.912058823531</v>
      </c>
      <c r="F35" s="511">
        <f t="shared" si="11"/>
        <v>947012.99265592801</v>
      </c>
      <c r="G35" s="512">
        <f t="shared" si="12"/>
        <v>158538.39453205754</v>
      </c>
      <c r="H35" s="478">
        <f t="shared" si="13"/>
        <v>158538.39453205754</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947012.99265592801</v>
      </c>
      <c r="E36" s="510">
        <f t="shared" si="10"/>
        <v>54841.912058823531</v>
      </c>
      <c r="F36" s="511">
        <f t="shared" si="11"/>
        <v>892171.0805971045</v>
      </c>
      <c r="G36" s="512">
        <f t="shared" si="12"/>
        <v>152702.27461825634</v>
      </c>
      <c r="H36" s="478">
        <f t="shared" si="13"/>
        <v>152702.27461825634</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892171.0805971045</v>
      </c>
      <c r="E37" s="510">
        <f t="shared" si="10"/>
        <v>54841.912058823531</v>
      </c>
      <c r="F37" s="511">
        <f t="shared" si="11"/>
        <v>837329.168538281</v>
      </c>
      <c r="G37" s="512">
        <f t="shared" si="12"/>
        <v>146866.15470445517</v>
      </c>
      <c r="H37" s="478">
        <f t="shared" si="13"/>
        <v>146866.15470445517</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837329.168538281</v>
      </c>
      <c r="E38" s="510">
        <f t="shared" si="10"/>
        <v>54841.912058823531</v>
      </c>
      <c r="F38" s="511">
        <f t="shared" si="11"/>
        <v>782487.25647945749</v>
      </c>
      <c r="G38" s="512">
        <f t="shared" si="12"/>
        <v>141030.034790654</v>
      </c>
      <c r="H38" s="478">
        <f t="shared" si="13"/>
        <v>141030.034790654</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782487.25647945749</v>
      </c>
      <c r="E39" s="510">
        <f t="shared" si="10"/>
        <v>54841.912058823531</v>
      </c>
      <c r="F39" s="511">
        <f t="shared" si="11"/>
        <v>727645.34442063398</v>
      </c>
      <c r="G39" s="512">
        <f t="shared" si="12"/>
        <v>135193.9148768528</v>
      </c>
      <c r="H39" s="478">
        <f t="shared" si="13"/>
        <v>135193.9148768528</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727645.34442063398</v>
      </c>
      <c r="E40" s="510">
        <f t="shared" si="10"/>
        <v>54841.912058823531</v>
      </c>
      <c r="F40" s="511">
        <f t="shared" si="11"/>
        <v>672803.43236181047</v>
      </c>
      <c r="G40" s="512">
        <f t="shared" si="12"/>
        <v>129357.79496305162</v>
      </c>
      <c r="H40" s="478">
        <f t="shared" si="13"/>
        <v>129357.79496305162</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672803.43236181047</v>
      </c>
      <c r="E41" s="510">
        <f t="shared" si="10"/>
        <v>54841.912058823531</v>
      </c>
      <c r="F41" s="511">
        <f t="shared" si="11"/>
        <v>617961.52030298696</v>
      </c>
      <c r="G41" s="512">
        <f t="shared" si="12"/>
        <v>123521.67504925042</v>
      </c>
      <c r="H41" s="478">
        <f t="shared" si="13"/>
        <v>123521.67504925042</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617961.52030298696</v>
      </c>
      <c r="E42" s="510">
        <f t="shared" si="10"/>
        <v>54841.912058823531</v>
      </c>
      <c r="F42" s="511">
        <f t="shared" si="11"/>
        <v>563119.60824416345</v>
      </c>
      <c r="G42" s="512">
        <f t="shared" si="12"/>
        <v>117685.55513544925</v>
      </c>
      <c r="H42" s="478">
        <f t="shared" si="13"/>
        <v>117685.55513544925</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IF(D14="","-",+C42+1)</f>
        <v>2040</v>
      </c>
      <c r="D43" s="509">
        <f>IF(F42+SUM(E$17:E42)=D$10,F42,D$10-SUM(E$17:E42))</f>
        <v>563119.60824416345</v>
      </c>
      <c r="E43" s="510">
        <f t="shared" si="10"/>
        <v>54841.912058823531</v>
      </c>
      <c r="F43" s="511">
        <f t="shared" si="11"/>
        <v>508277.69618533994</v>
      </c>
      <c r="G43" s="512">
        <f t="shared" si="12"/>
        <v>111849.43522164806</v>
      </c>
      <c r="H43" s="478">
        <f t="shared" si="13"/>
        <v>111849.43522164806</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IF(D15="","-",+C43+1)</f>
        <v>2041</v>
      </c>
      <c r="D44" s="509">
        <f>IF(F43+SUM(E$17:E43)=D$10,F43,D$10-SUM(E$17:E43))</f>
        <v>508277.69618533994</v>
      </c>
      <c r="E44" s="510">
        <f t="shared" si="10"/>
        <v>54841.912058823531</v>
      </c>
      <c r="F44" s="511">
        <f t="shared" si="11"/>
        <v>453435.78412651643</v>
      </c>
      <c r="G44" s="512">
        <f t="shared" si="12"/>
        <v>106013.31530784687</v>
      </c>
      <c r="H44" s="478">
        <f t="shared" si="13"/>
        <v>106013.31530784687</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453435.78412651643</v>
      </c>
      <c r="E45" s="510">
        <f t="shared" si="10"/>
        <v>54841.912058823531</v>
      </c>
      <c r="F45" s="511">
        <f t="shared" si="11"/>
        <v>398593.87206769292</v>
      </c>
      <c r="G45" s="512">
        <f t="shared" si="12"/>
        <v>100177.1953940457</v>
      </c>
      <c r="H45" s="478">
        <f t="shared" si="13"/>
        <v>100177.1953940457</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398593.87206769292</v>
      </c>
      <c r="E46" s="510">
        <f t="shared" si="10"/>
        <v>54841.912058823531</v>
      </c>
      <c r="F46" s="511">
        <f t="shared" si="11"/>
        <v>343751.96000886941</v>
      </c>
      <c r="G46" s="512">
        <f t="shared" si="12"/>
        <v>94341.075480244501</v>
      </c>
      <c r="H46" s="478">
        <f t="shared" si="13"/>
        <v>94341.075480244501</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343751.96000886941</v>
      </c>
      <c r="E47" s="510">
        <f t="shared" si="10"/>
        <v>54841.912058823531</v>
      </c>
      <c r="F47" s="511">
        <f t="shared" si="11"/>
        <v>288910.0479500459</v>
      </c>
      <c r="G47" s="512">
        <f t="shared" si="12"/>
        <v>88504.955566443328</v>
      </c>
      <c r="H47" s="478">
        <f t="shared" si="13"/>
        <v>88504.955566443328</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288910.0479500459</v>
      </c>
      <c r="E48" s="510">
        <f t="shared" si="10"/>
        <v>54841.912058823531</v>
      </c>
      <c r="F48" s="511">
        <f t="shared" si="11"/>
        <v>234068.13589122237</v>
      </c>
      <c r="G48" s="512">
        <f t="shared" si="12"/>
        <v>82668.835652642141</v>
      </c>
      <c r="H48" s="478">
        <f t="shared" si="13"/>
        <v>82668.835652642141</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234068.13589122237</v>
      </c>
      <c r="E49" s="510">
        <f t="shared" si="10"/>
        <v>54841.912058823531</v>
      </c>
      <c r="F49" s="511">
        <f t="shared" si="11"/>
        <v>179226.22383239883</v>
      </c>
      <c r="G49" s="512">
        <f t="shared" si="12"/>
        <v>76832.715738840954</v>
      </c>
      <c r="H49" s="478">
        <f t="shared" si="13"/>
        <v>76832.715738840954</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179226.22383239883</v>
      </c>
      <c r="E50" s="510">
        <f t="shared" si="10"/>
        <v>54841.912058823531</v>
      </c>
      <c r="F50" s="511">
        <f t="shared" si="11"/>
        <v>124384.31177357529</v>
      </c>
      <c r="G50" s="512">
        <f t="shared" si="12"/>
        <v>70996.595825039767</v>
      </c>
      <c r="H50" s="478">
        <f t="shared" si="13"/>
        <v>70996.595825039767</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124384.31177357529</v>
      </c>
      <c r="E51" s="510">
        <f t="shared" si="10"/>
        <v>54841.912058823531</v>
      </c>
      <c r="F51" s="511">
        <f t="shared" si="11"/>
        <v>69542.399714751751</v>
      </c>
      <c r="G51" s="512">
        <f t="shared" si="12"/>
        <v>65160.47591123858</v>
      </c>
      <c r="H51" s="478">
        <f t="shared" si="13"/>
        <v>65160.47591123858</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69542.399714751751</v>
      </c>
      <c r="E52" s="510">
        <f t="shared" si="10"/>
        <v>54841.912058823531</v>
      </c>
      <c r="F52" s="511">
        <f t="shared" si="11"/>
        <v>14700.48765592822</v>
      </c>
      <c r="G52" s="512">
        <f t="shared" si="12"/>
        <v>59324.355997437393</v>
      </c>
      <c r="H52" s="478">
        <f t="shared" si="13"/>
        <v>59324.355997437393</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14700.48765592822</v>
      </c>
      <c r="E53" s="510">
        <f t="shared" si="10"/>
        <v>14700.48765592822</v>
      </c>
      <c r="F53" s="511">
        <f t="shared" si="11"/>
        <v>0</v>
      </c>
      <c r="G53" s="512">
        <f t="shared" si="12"/>
        <v>15482.679646784854</v>
      </c>
      <c r="H53" s="478">
        <f t="shared" si="13"/>
        <v>15482.679646784854</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0"/>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0"/>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0"/>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0"/>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0"/>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0"/>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0"/>
        <v>0</v>
      </c>
      <c r="F73" s="528">
        <f t="shared" si="11"/>
        <v>0</v>
      </c>
      <c r="G73" s="612">
        <f t="shared" si="12"/>
        <v>0</v>
      </c>
      <c r="H73" s="459">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1864625.0099999998</v>
      </c>
      <c r="F74" s="295"/>
      <c r="G74" s="295">
        <f>SUM(G17:G73)</f>
        <v>5431913.3885628944</v>
      </c>
      <c r="H74" s="295">
        <f>SUM(H17:H73)</f>
        <v>5431913.3885628944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8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225892.94644088054</v>
      </c>
      <c r="N88" s="545">
        <f>IF(J93&lt;D11,0,VLOOKUP(J93,C17:O73,11))</f>
        <v>225892.94644088054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235752.93131710603</v>
      </c>
      <c r="N89" s="549">
        <f>IF(J93&lt;D11,0,VLOOKUP(J93,C100:P155,7))</f>
        <v>235752.93131710603</v>
      </c>
      <c r="O89" s="550">
        <f>+N89-M89</f>
        <v>0</v>
      </c>
      <c r="P89" s="244"/>
      <c r="Q89" s="244"/>
      <c r="R89" s="244"/>
      <c r="S89" s="244"/>
      <c r="T89" s="244"/>
      <c r="U89" s="244"/>
    </row>
    <row r="90" spans="1:21" ht="13.5" thickBot="1">
      <c r="C90" s="455" t="s">
        <v>82</v>
      </c>
      <c r="D90" s="551" t="str">
        <f>+D7</f>
        <v>Coweta 69 kV Capacitor</v>
      </c>
      <c r="E90" s="244"/>
      <c r="F90" s="244"/>
      <c r="G90" s="244"/>
      <c r="H90" s="244"/>
      <c r="I90" s="326"/>
      <c r="J90" s="326"/>
      <c r="K90" s="552"/>
      <c r="L90" s="553" t="s">
        <v>135</v>
      </c>
      <c r="M90" s="554">
        <f>+M89-M88</f>
        <v>9859.9848762254987</v>
      </c>
      <c r="N90" s="554">
        <f>+N89-N88</f>
        <v>9859.9848762254987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TP2009089</v>
      </c>
      <c r="E92" s="559"/>
      <c r="F92" s="559"/>
      <c r="G92" s="559"/>
      <c r="H92" s="559"/>
      <c r="I92" s="559"/>
      <c r="J92" s="559"/>
      <c r="K92" s="561"/>
      <c r="P92" s="469"/>
      <c r="Q92" s="244"/>
      <c r="R92" s="244"/>
      <c r="S92" s="244"/>
      <c r="T92" s="244"/>
      <c r="U92" s="244"/>
    </row>
    <row r="93" spans="1:21" ht="13">
      <c r="C93" s="473" t="s">
        <v>49</v>
      </c>
      <c r="D93" s="599">
        <f>IF(D11=I10,0,D10)</f>
        <v>1864625.01</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66593.750357142853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613">
        <v>0</v>
      </c>
      <c r="E100" s="614">
        <v>16074.353534482758</v>
      </c>
      <c r="F100" s="615">
        <v>1848550.6564655174</v>
      </c>
      <c r="G100" s="616">
        <v>924275.32823275868</v>
      </c>
      <c r="H100" s="616">
        <v>115474.09051785123</v>
      </c>
      <c r="I100" s="616">
        <v>115474.09051785123</v>
      </c>
      <c r="J100" s="505">
        <v>0</v>
      </c>
      <c r="K100" s="505"/>
      <c r="L100" s="507">
        <f t="shared" ref="L100:L105" si="15">H100</f>
        <v>115474.09051785123</v>
      </c>
      <c r="M100" s="505">
        <f t="shared" ref="M100:M105" si="16">IF(L100&lt;&gt;0,+H100-L100,0)</f>
        <v>0</v>
      </c>
      <c r="N100" s="507">
        <f t="shared" ref="N100:N105" si="17">I100</f>
        <v>115474.09051785123</v>
      </c>
      <c r="O100" s="505">
        <f>IF(N100&lt;&gt;0,+I100-N100,0)</f>
        <v>0</v>
      </c>
      <c r="P100" s="505">
        <f>+O100-M100</f>
        <v>0</v>
      </c>
      <c r="Q100" s="244"/>
      <c r="R100" s="244"/>
      <c r="S100" s="244"/>
      <c r="T100" s="244"/>
      <c r="U100" s="244"/>
    </row>
    <row r="101" spans="1:21" ht="12.5">
      <c r="C101" s="496">
        <f>IF(D94="","-",+C100+1)</f>
        <v>2015</v>
      </c>
      <c r="D101" s="506">
        <v>1848550.6564655174</v>
      </c>
      <c r="E101" s="499">
        <v>38846.354375000003</v>
      </c>
      <c r="F101" s="506">
        <v>1809704.3020905172</v>
      </c>
      <c r="G101" s="499">
        <v>1829127.4792780173</v>
      </c>
      <c r="H101" s="500">
        <v>242482.07146648291</v>
      </c>
      <c r="I101" s="500">
        <v>242482.07146648291</v>
      </c>
      <c r="J101" s="500">
        <v>0</v>
      </c>
      <c r="K101" s="505"/>
      <c r="L101" s="507">
        <f t="shared" si="15"/>
        <v>242482.07146648291</v>
      </c>
      <c r="M101" s="505">
        <f t="shared" si="16"/>
        <v>0</v>
      </c>
      <c r="N101" s="507">
        <f t="shared" si="17"/>
        <v>242482.07146648291</v>
      </c>
      <c r="O101" s="505">
        <f t="shared" ref="O101:O131" si="18">IF(N101&lt;&gt;0,+I101-N101,0)</f>
        <v>0</v>
      </c>
      <c r="P101" s="505">
        <f t="shared" ref="P101:P131" si="19">+O101-M101</f>
        <v>0</v>
      </c>
      <c r="Q101" s="244"/>
      <c r="R101" s="244"/>
      <c r="S101" s="244"/>
      <c r="T101" s="244"/>
      <c r="U101" s="244"/>
    </row>
    <row r="102" spans="1:21" ht="12.5">
      <c r="C102" s="496">
        <f>IF(D94="","-",+C101+1)</f>
        <v>2016</v>
      </c>
      <c r="D102" s="506">
        <v>1809704.3020905172</v>
      </c>
      <c r="E102" s="499">
        <v>36561.274705882352</v>
      </c>
      <c r="F102" s="506">
        <v>1773143.0273846348</v>
      </c>
      <c r="G102" s="499">
        <v>1791423.6647375762</v>
      </c>
      <c r="H102" s="500">
        <v>230696.88883644732</v>
      </c>
      <c r="I102" s="500">
        <v>230696.88883644732</v>
      </c>
      <c r="J102" s="505">
        <f t="shared" ref="J102:J155" si="20">+I102-H102</f>
        <v>0</v>
      </c>
      <c r="K102" s="505"/>
      <c r="L102" s="507">
        <f t="shared" si="15"/>
        <v>230696.88883644732</v>
      </c>
      <c r="M102" s="505">
        <f t="shared" si="16"/>
        <v>0</v>
      </c>
      <c r="N102" s="507">
        <f t="shared" si="17"/>
        <v>230696.88883644732</v>
      </c>
      <c r="O102" s="505">
        <f>IF(N102&lt;&gt;0,+I102-N102,0)</f>
        <v>0</v>
      </c>
      <c r="P102" s="505">
        <f>+O102-M102</f>
        <v>0</v>
      </c>
      <c r="Q102" s="244"/>
      <c r="R102" s="244"/>
      <c r="S102" s="244"/>
      <c r="T102" s="244"/>
      <c r="U102" s="244"/>
    </row>
    <row r="103" spans="1:21" ht="12.5">
      <c r="C103" s="496">
        <f>IF(D94="","-",+C102+1)</f>
        <v>2017</v>
      </c>
      <c r="D103" s="506">
        <v>1773143.0273846348</v>
      </c>
      <c r="E103" s="499">
        <v>46615.625249999997</v>
      </c>
      <c r="F103" s="506">
        <v>1726527.4021346348</v>
      </c>
      <c r="G103" s="499">
        <v>1749835.2147596348</v>
      </c>
      <c r="H103" s="500">
        <v>251934.05240160052</v>
      </c>
      <c r="I103" s="500">
        <v>251934.05240160052</v>
      </c>
      <c r="J103" s="505">
        <v>0</v>
      </c>
      <c r="K103" s="505"/>
      <c r="L103" s="507">
        <f t="shared" si="15"/>
        <v>251934.05240160052</v>
      </c>
      <c r="M103" s="505">
        <f t="shared" si="16"/>
        <v>0</v>
      </c>
      <c r="N103" s="507">
        <f t="shared" si="17"/>
        <v>251934.05240160052</v>
      </c>
      <c r="O103" s="505">
        <f>IF(N103&lt;&gt;0,+I103-N103,0)</f>
        <v>0</v>
      </c>
      <c r="P103" s="505">
        <f>+O103-M103</f>
        <v>0</v>
      </c>
      <c r="Q103" s="244"/>
      <c r="R103" s="244"/>
      <c r="S103" s="244"/>
      <c r="T103" s="244"/>
      <c r="U103" s="244"/>
    </row>
    <row r="104" spans="1:21" ht="12.5">
      <c r="C104" s="496">
        <f>IF(D94="","-",+C103+1)</f>
        <v>2018</v>
      </c>
      <c r="D104" s="506">
        <v>1726527.4021346348</v>
      </c>
      <c r="E104" s="499">
        <v>51795.139166666668</v>
      </c>
      <c r="F104" s="506">
        <v>1674732.2629679681</v>
      </c>
      <c r="G104" s="499">
        <v>1700629.8325513015</v>
      </c>
      <c r="H104" s="500">
        <v>231317.7893017451</v>
      </c>
      <c r="I104" s="500">
        <v>231317.7893017451</v>
      </c>
      <c r="J104" s="505">
        <f t="shared" si="20"/>
        <v>0</v>
      </c>
      <c r="K104" s="505"/>
      <c r="L104" s="507">
        <f t="shared" si="15"/>
        <v>231317.7893017451</v>
      </c>
      <c r="M104" s="505">
        <f t="shared" si="16"/>
        <v>0</v>
      </c>
      <c r="N104" s="507">
        <f t="shared" si="17"/>
        <v>231317.7893017451</v>
      </c>
      <c r="O104" s="505">
        <f>IF(N104&lt;&gt;0,+I104-N104,0)</f>
        <v>0</v>
      </c>
      <c r="P104" s="505">
        <f>+O104-M104</f>
        <v>0</v>
      </c>
      <c r="Q104" s="244"/>
      <c r="R104" s="244"/>
      <c r="S104" s="244"/>
      <c r="T104" s="244"/>
      <c r="U104" s="244"/>
    </row>
    <row r="105" spans="1:21" ht="12.5">
      <c r="C105" s="496">
        <f>IF(D94="","-",+C104+1)</f>
        <v>2019</v>
      </c>
      <c r="D105" s="506">
        <v>1674732.2629679681</v>
      </c>
      <c r="E105" s="499">
        <v>51795.139166666668</v>
      </c>
      <c r="F105" s="506">
        <v>1622937.1238013015</v>
      </c>
      <c r="G105" s="499">
        <v>1648834.6933846348</v>
      </c>
      <c r="H105" s="500">
        <v>225850.16755988394</v>
      </c>
      <c r="I105" s="500">
        <v>225850.16755988394</v>
      </c>
      <c r="J105" s="505">
        <f t="shared" si="20"/>
        <v>0</v>
      </c>
      <c r="K105" s="505"/>
      <c r="L105" s="507">
        <f t="shared" si="15"/>
        <v>225850.16755988394</v>
      </c>
      <c r="M105" s="505">
        <f t="shared" si="16"/>
        <v>0</v>
      </c>
      <c r="N105" s="507">
        <f t="shared" si="17"/>
        <v>225850.16755988394</v>
      </c>
      <c r="O105" s="505">
        <f>IF(N105&lt;&gt;0,+I105-N105,0)</f>
        <v>0</v>
      </c>
      <c r="P105" s="505">
        <f t="shared" si="19"/>
        <v>0</v>
      </c>
      <c r="Q105" s="244"/>
      <c r="R105" s="244"/>
      <c r="S105" s="244"/>
      <c r="T105" s="244"/>
      <c r="U105" s="244"/>
    </row>
    <row r="106" spans="1:21" ht="12.5">
      <c r="C106" s="496">
        <f>IF(D94="","-",+C105+1)</f>
        <v>2020</v>
      </c>
      <c r="D106" s="350">
        <f>IF(F105+SUM(E$100:E105)=D$93,F105,D$93-SUM(E$100:E105))</f>
        <v>1622937.1238013015</v>
      </c>
      <c r="E106" s="510">
        <f t="shared" ref="E106:E155" si="21">IF(+$J$97&lt;F105,$J$97,D106)</f>
        <v>66593.750357142853</v>
      </c>
      <c r="F106" s="511">
        <f t="shared" ref="F106:F155" si="22">+D106-E106</f>
        <v>1556343.3734441586</v>
      </c>
      <c r="G106" s="511">
        <f t="shared" ref="G106:G155" si="23">+(F106+D106)/2</f>
        <v>1589640.2486227299</v>
      </c>
      <c r="H106" s="646">
        <f>(D106+F106)/2*J$95+E106</f>
        <v>235752.93131710603</v>
      </c>
      <c r="I106" s="573">
        <f t="shared" ref="I106:I155" si="24">+J$96*G106+E106</f>
        <v>235752.93131710603</v>
      </c>
      <c r="J106" s="505">
        <f t="shared" si="20"/>
        <v>0</v>
      </c>
      <c r="K106" s="505"/>
      <c r="L106" s="513"/>
      <c r="M106" s="505">
        <f t="shared" ref="M106:M131" si="25">IF(L106&lt;&gt;0,+H106-L106,0)</f>
        <v>0</v>
      </c>
      <c r="N106" s="513"/>
      <c r="O106" s="505">
        <f t="shared" si="18"/>
        <v>0</v>
      </c>
      <c r="P106" s="505">
        <f t="shared" si="19"/>
        <v>0</v>
      </c>
      <c r="Q106" s="244"/>
      <c r="R106" s="244"/>
      <c r="S106" s="244"/>
      <c r="T106" s="244"/>
      <c r="U106" s="244"/>
    </row>
    <row r="107" spans="1:21" ht="12.5">
      <c r="C107" s="496">
        <f>IF(D94="","-",+C106+1)</f>
        <v>2021</v>
      </c>
      <c r="D107" s="350">
        <f>IF(F106+SUM(E$100:E106)=D$93,F106,D$93-SUM(E$100:E106))</f>
        <v>1556343.3734441586</v>
      </c>
      <c r="E107" s="510">
        <f t="shared" si="21"/>
        <v>66593.750357142853</v>
      </c>
      <c r="F107" s="511">
        <f t="shared" si="22"/>
        <v>1489749.6230870157</v>
      </c>
      <c r="G107" s="511">
        <f t="shared" si="23"/>
        <v>1523046.4982655873</v>
      </c>
      <c r="H107" s="646">
        <f t="shared" ref="H107:H155" si="26">(D107+F107)/2*J$95+E107</f>
        <v>228666.45733204778</v>
      </c>
      <c r="I107" s="573">
        <f t="shared" si="24"/>
        <v>228666.45733204778</v>
      </c>
      <c r="J107" s="505">
        <f t="shared" si="20"/>
        <v>0</v>
      </c>
      <c r="K107" s="505"/>
      <c r="L107" s="513"/>
      <c r="M107" s="505">
        <f t="shared" si="25"/>
        <v>0</v>
      </c>
      <c r="N107" s="513"/>
      <c r="O107" s="505">
        <f t="shared" si="18"/>
        <v>0</v>
      </c>
      <c r="P107" s="505">
        <f t="shared" si="19"/>
        <v>0</v>
      </c>
      <c r="Q107" s="244"/>
      <c r="R107" s="244"/>
      <c r="S107" s="244"/>
      <c r="T107" s="244"/>
      <c r="U107" s="244"/>
    </row>
    <row r="108" spans="1:21" ht="12.5">
      <c r="C108" s="496">
        <f>IF(D94="","-",+C107+1)</f>
        <v>2022</v>
      </c>
      <c r="D108" s="350">
        <f>IF(F107+SUM(E$100:E107)=D$93,F107,D$93-SUM(E$100:E107))</f>
        <v>1489749.6230870157</v>
      </c>
      <c r="E108" s="510">
        <f t="shared" si="21"/>
        <v>66593.750357142853</v>
      </c>
      <c r="F108" s="511">
        <f t="shared" si="22"/>
        <v>1423155.8727298728</v>
      </c>
      <c r="G108" s="511">
        <f t="shared" si="23"/>
        <v>1456452.7479084441</v>
      </c>
      <c r="H108" s="646">
        <f t="shared" si="26"/>
        <v>221579.98334698947</v>
      </c>
      <c r="I108" s="573">
        <f t="shared" si="24"/>
        <v>221579.98334698947</v>
      </c>
      <c r="J108" s="505">
        <f t="shared" si="20"/>
        <v>0</v>
      </c>
      <c r="K108" s="505"/>
      <c r="L108" s="513"/>
      <c r="M108" s="505">
        <f t="shared" si="25"/>
        <v>0</v>
      </c>
      <c r="N108" s="513"/>
      <c r="O108" s="505">
        <f t="shared" si="18"/>
        <v>0</v>
      </c>
      <c r="P108" s="505">
        <f t="shared" si="19"/>
        <v>0</v>
      </c>
      <c r="Q108" s="244"/>
      <c r="R108" s="244"/>
      <c r="S108" s="244"/>
      <c r="T108" s="244"/>
      <c r="U108" s="244"/>
    </row>
    <row r="109" spans="1:21" ht="12.5">
      <c r="C109" s="496">
        <f>IF(D94="","-",+C108+1)</f>
        <v>2023</v>
      </c>
      <c r="D109" s="350">
        <f>IF(F108+SUM(E$100:E108)=D$93,F108,D$93-SUM(E$100:E108))</f>
        <v>1423155.8727298728</v>
      </c>
      <c r="E109" s="510">
        <f t="shared" si="21"/>
        <v>66593.750357142853</v>
      </c>
      <c r="F109" s="511">
        <f t="shared" si="22"/>
        <v>1356562.1223727299</v>
      </c>
      <c r="G109" s="511">
        <f t="shared" si="23"/>
        <v>1389858.9975513015</v>
      </c>
      <c r="H109" s="646">
        <f t="shared" si="26"/>
        <v>214493.50936193121</v>
      </c>
      <c r="I109" s="573">
        <f t="shared" si="24"/>
        <v>214493.50936193121</v>
      </c>
      <c r="J109" s="505">
        <f t="shared" si="20"/>
        <v>0</v>
      </c>
      <c r="K109" s="505"/>
      <c r="L109" s="513"/>
      <c r="M109" s="505">
        <f t="shared" si="25"/>
        <v>0</v>
      </c>
      <c r="N109" s="513"/>
      <c r="O109" s="505">
        <f t="shared" si="18"/>
        <v>0</v>
      </c>
      <c r="P109" s="505">
        <f t="shared" si="19"/>
        <v>0</v>
      </c>
      <c r="Q109" s="244"/>
      <c r="R109" s="244"/>
      <c r="S109" s="244"/>
      <c r="T109" s="244"/>
      <c r="U109" s="244"/>
    </row>
    <row r="110" spans="1:21" ht="12.5">
      <c r="C110" s="496">
        <f>IF(D94="","-",+C109+1)</f>
        <v>2024</v>
      </c>
      <c r="D110" s="350">
        <f>IF(F109+SUM(E$100:E109)=D$93,F109,D$93-SUM(E$100:E109))</f>
        <v>1356562.1223727299</v>
      </c>
      <c r="E110" s="510">
        <f t="shared" si="21"/>
        <v>66593.750357142853</v>
      </c>
      <c r="F110" s="511">
        <f t="shared" si="22"/>
        <v>1289968.3720155871</v>
      </c>
      <c r="G110" s="511">
        <f t="shared" si="23"/>
        <v>1323265.2471941584</v>
      </c>
      <c r="H110" s="646">
        <f t="shared" si="26"/>
        <v>207407.03537687293</v>
      </c>
      <c r="I110" s="573">
        <f t="shared" si="24"/>
        <v>207407.03537687293</v>
      </c>
      <c r="J110" s="505">
        <f t="shared" si="20"/>
        <v>0</v>
      </c>
      <c r="K110" s="505"/>
      <c r="L110" s="513"/>
      <c r="M110" s="505">
        <f t="shared" si="25"/>
        <v>0</v>
      </c>
      <c r="N110" s="513"/>
      <c r="O110" s="505">
        <f t="shared" si="18"/>
        <v>0</v>
      </c>
      <c r="P110" s="505">
        <f t="shared" si="19"/>
        <v>0</v>
      </c>
      <c r="Q110" s="244"/>
      <c r="R110" s="244"/>
      <c r="S110" s="244"/>
      <c r="T110" s="244"/>
      <c r="U110" s="244"/>
    </row>
    <row r="111" spans="1:21" ht="12.5">
      <c r="C111" s="496">
        <f>IF(D94="","-",+C110+1)</f>
        <v>2025</v>
      </c>
      <c r="D111" s="350">
        <f>IF(F110+SUM(E$100:E110)=D$93,F110,D$93-SUM(E$100:E110))</f>
        <v>1289968.3720155871</v>
      </c>
      <c r="E111" s="510">
        <f t="shared" si="21"/>
        <v>66593.750357142853</v>
      </c>
      <c r="F111" s="511">
        <f t="shared" si="22"/>
        <v>1223374.6216584442</v>
      </c>
      <c r="G111" s="511">
        <f t="shared" si="23"/>
        <v>1256671.4968370157</v>
      </c>
      <c r="H111" s="646">
        <f t="shared" si="26"/>
        <v>200320.56139181467</v>
      </c>
      <c r="I111" s="573">
        <f t="shared" si="24"/>
        <v>200320.56139181467</v>
      </c>
      <c r="J111" s="505">
        <f t="shared" si="20"/>
        <v>0</v>
      </c>
      <c r="K111" s="505"/>
      <c r="L111" s="513"/>
      <c r="M111" s="505">
        <f t="shared" si="25"/>
        <v>0</v>
      </c>
      <c r="N111" s="513"/>
      <c r="O111" s="505">
        <f t="shared" si="18"/>
        <v>0</v>
      </c>
      <c r="P111" s="505">
        <f t="shared" si="19"/>
        <v>0</v>
      </c>
      <c r="Q111" s="244"/>
      <c r="R111" s="244"/>
      <c r="S111" s="244"/>
      <c r="T111" s="244"/>
      <c r="U111" s="244"/>
    </row>
    <row r="112" spans="1:21" ht="12.5">
      <c r="C112" s="496">
        <f>IF(D94="","-",+C111+1)</f>
        <v>2026</v>
      </c>
      <c r="D112" s="350">
        <f>IF(F111+SUM(E$100:E111)=D$93,F111,D$93-SUM(E$100:E111))</f>
        <v>1223374.6216584442</v>
      </c>
      <c r="E112" s="510">
        <f t="shared" si="21"/>
        <v>66593.750357142853</v>
      </c>
      <c r="F112" s="511">
        <f t="shared" si="22"/>
        <v>1156780.8713013013</v>
      </c>
      <c r="G112" s="511">
        <f t="shared" si="23"/>
        <v>1190077.7464798726</v>
      </c>
      <c r="H112" s="646">
        <f t="shared" si="26"/>
        <v>193234.08740675636</v>
      </c>
      <c r="I112" s="573">
        <f t="shared" si="24"/>
        <v>193234.08740675636</v>
      </c>
      <c r="J112" s="505">
        <f t="shared" si="20"/>
        <v>0</v>
      </c>
      <c r="K112" s="505"/>
      <c r="L112" s="513"/>
      <c r="M112" s="505">
        <f t="shared" si="25"/>
        <v>0</v>
      </c>
      <c r="N112" s="513"/>
      <c r="O112" s="505">
        <f t="shared" si="18"/>
        <v>0</v>
      </c>
      <c r="P112" s="505">
        <f t="shared" si="19"/>
        <v>0</v>
      </c>
      <c r="Q112" s="244"/>
      <c r="R112" s="244"/>
      <c r="S112" s="244"/>
      <c r="T112" s="244"/>
      <c r="U112" s="244"/>
    </row>
    <row r="113" spans="3:21" ht="12.5">
      <c r="C113" s="496">
        <f>IF(D94="","-",+C112+1)</f>
        <v>2027</v>
      </c>
      <c r="D113" s="350">
        <f>IF(F112+SUM(E$100:E112)=D$93,F112,D$93-SUM(E$100:E112))</f>
        <v>1156780.8713013013</v>
      </c>
      <c r="E113" s="510">
        <f t="shared" si="21"/>
        <v>66593.750357142853</v>
      </c>
      <c r="F113" s="511">
        <f t="shared" si="22"/>
        <v>1090187.1209441584</v>
      </c>
      <c r="G113" s="511">
        <f t="shared" si="23"/>
        <v>1123483.99612273</v>
      </c>
      <c r="H113" s="646">
        <f t="shared" si="26"/>
        <v>186147.6134216981</v>
      </c>
      <c r="I113" s="573">
        <f t="shared" si="24"/>
        <v>186147.6134216981</v>
      </c>
      <c r="J113" s="505">
        <f t="shared" si="20"/>
        <v>0</v>
      </c>
      <c r="K113" s="505"/>
      <c r="L113" s="513"/>
      <c r="M113" s="505">
        <f t="shared" si="25"/>
        <v>0</v>
      </c>
      <c r="N113" s="513"/>
      <c r="O113" s="505">
        <f t="shared" si="18"/>
        <v>0</v>
      </c>
      <c r="P113" s="505">
        <f t="shared" si="19"/>
        <v>0</v>
      </c>
      <c r="Q113" s="244"/>
      <c r="R113" s="244"/>
      <c r="S113" s="244"/>
      <c r="T113" s="244"/>
      <c r="U113" s="244"/>
    </row>
    <row r="114" spans="3:21" ht="12.5">
      <c r="C114" s="496">
        <f>IF(D94="","-",+C113+1)</f>
        <v>2028</v>
      </c>
      <c r="D114" s="350">
        <f>IF(F113+SUM(E$100:E113)=D$93,F113,D$93-SUM(E$100:E113))</f>
        <v>1090187.1209441584</v>
      </c>
      <c r="E114" s="510">
        <f t="shared" si="21"/>
        <v>66593.750357142853</v>
      </c>
      <c r="F114" s="511">
        <f t="shared" si="22"/>
        <v>1023593.3705870155</v>
      </c>
      <c r="G114" s="511">
        <f t="shared" si="23"/>
        <v>1056890.2457655868</v>
      </c>
      <c r="H114" s="646">
        <f t="shared" si="26"/>
        <v>179061.13943663982</v>
      </c>
      <c r="I114" s="573">
        <f t="shared" si="24"/>
        <v>179061.13943663982</v>
      </c>
      <c r="J114" s="505">
        <f t="shared" si="20"/>
        <v>0</v>
      </c>
      <c r="K114" s="505"/>
      <c r="L114" s="513"/>
      <c r="M114" s="505">
        <f t="shared" si="25"/>
        <v>0</v>
      </c>
      <c r="N114" s="513"/>
      <c r="O114" s="505">
        <f t="shared" si="18"/>
        <v>0</v>
      </c>
      <c r="P114" s="505">
        <f t="shared" si="19"/>
        <v>0</v>
      </c>
      <c r="Q114" s="244"/>
      <c r="R114" s="244"/>
      <c r="S114" s="244"/>
      <c r="T114" s="244"/>
      <c r="U114" s="244"/>
    </row>
    <row r="115" spans="3:21" ht="12.5">
      <c r="C115" s="496">
        <f>IF(D94="","-",+C114+1)</f>
        <v>2029</v>
      </c>
      <c r="D115" s="350">
        <f>IF(F114+SUM(E$100:E114)=D$93,F114,D$93-SUM(E$100:E114))</f>
        <v>1023593.3705870155</v>
      </c>
      <c r="E115" s="510">
        <f t="shared" si="21"/>
        <v>66593.750357142853</v>
      </c>
      <c r="F115" s="511">
        <f t="shared" si="22"/>
        <v>956999.62022987264</v>
      </c>
      <c r="G115" s="511">
        <f t="shared" si="23"/>
        <v>990296.49540844408</v>
      </c>
      <c r="H115" s="646">
        <f t="shared" si="26"/>
        <v>171974.66545158156</v>
      </c>
      <c r="I115" s="573">
        <f t="shared" si="24"/>
        <v>171974.66545158156</v>
      </c>
      <c r="J115" s="505">
        <f t="shared" si="20"/>
        <v>0</v>
      </c>
      <c r="K115" s="505"/>
      <c r="L115" s="513"/>
      <c r="M115" s="505">
        <f t="shared" si="25"/>
        <v>0</v>
      </c>
      <c r="N115" s="513"/>
      <c r="O115" s="505">
        <f t="shared" si="18"/>
        <v>0</v>
      </c>
      <c r="P115" s="505">
        <f t="shared" si="19"/>
        <v>0</v>
      </c>
      <c r="Q115" s="244"/>
      <c r="R115" s="244"/>
      <c r="S115" s="244"/>
      <c r="T115" s="244"/>
      <c r="U115" s="244"/>
    </row>
    <row r="116" spans="3:21" ht="12.5">
      <c r="C116" s="496">
        <f>IF(D94="","-",+C115+1)</f>
        <v>2030</v>
      </c>
      <c r="D116" s="350">
        <f>IF(F115+SUM(E$100:E115)=D$93,F115,D$93-SUM(E$100:E115))</f>
        <v>956999.62022987264</v>
      </c>
      <c r="E116" s="510">
        <f t="shared" si="21"/>
        <v>66593.750357142853</v>
      </c>
      <c r="F116" s="511">
        <f t="shared" si="22"/>
        <v>890405.86987272976</v>
      </c>
      <c r="G116" s="511">
        <f t="shared" si="23"/>
        <v>923702.7450513012</v>
      </c>
      <c r="H116" s="646">
        <f t="shared" si="26"/>
        <v>164888.19146652328</v>
      </c>
      <c r="I116" s="573">
        <f t="shared" si="24"/>
        <v>164888.19146652328</v>
      </c>
      <c r="J116" s="505">
        <f t="shared" si="20"/>
        <v>0</v>
      </c>
      <c r="K116" s="505"/>
      <c r="L116" s="513"/>
      <c r="M116" s="505">
        <f t="shared" si="25"/>
        <v>0</v>
      </c>
      <c r="N116" s="513"/>
      <c r="O116" s="505">
        <f t="shared" si="18"/>
        <v>0</v>
      </c>
      <c r="P116" s="505">
        <f t="shared" si="19"/>
        <v>0</v>
      </c>
      <c r="Q116" s="244"/>
      <c r="R116" s="244"/>
      <c r="S116" s="244"/>
      <c r="T116" s="244"/>
      <c r="U116" s="244"/>
    </row>
    <row r="117" spans="3:21" ht="12.5">
      <c r="C117" s="496">
        <f>IF(D94="","-",+C116+1)</f>
        <v>2031</v>
      </c>
      <c r="D117" s="350">
        <f>IF(F116+SUM(E$100:E116)=D$93,F116,D$93-SUM(E$100:E116))</f>
        <v>890405.86987272976</v>
      </c>
      <c r="E117" s="510">
        <f t="shared" si="21"/>
        <v>66593.750357142853</v>
      </c>
      <c r="F117" s="511">
        <f t="shared" si="22"/>
        <v>823812.11951558688</v>
      </c>
      <c r="G117" s="511">
        <f t="shared" si="23"/>
        <v>857108.99469415832</v>
      </c>
      <c r="H117" s="646">
        <f t="shared" si="26"/>
        <v>157801.71748146502</v>
      </c>
      <c r="I117" s="573">
        <f t="shared" si="24"/>
        <v>157801.71748146502</v>
      </c>
      <c r="J117" s="505">
        <f t="shared" si="20"/>
        <v>0</v>
      </c>
      <c r="K117" s="505"/>
      <c r="L117" s="513"/>
      <c r="M117" s="505">
        <f t="shared" si="25"/>
        <v>0</v>
      </c>
      <c r="N117" s="513"/>
      <c r="O117" s="505">
        <f t="shared" si="18"/>
        <v>0</v>
      </c>
      <c r="P117" s="505">
        <f t="shared" si="19"/>
        <v>0</v>
      </c>
      <c r="Q117" s="244"/>
      <c r="R117" s="244"/>
      <c r="S117" s="244"/>
      <c r="T117" s="244"/>
      <c r="U117" s="244"/>
    </row>
    <row r="118" spans="3:21" ht="12.5">
      <c r="C118" s="496">
        <f>IF(D94="","-",+C117+1)</f>
        <v>2032</v>
      </c>
      <c r="D118" s="350">
        <f>IF(F117+SUM(E$100:E117)=D$93,F117,D$93-SUM(E$100:E117))</f>
        <v>823812.11951558688</v>
      </c>
      <c r="E118" s="510">
        <f t="shared" si="21"/>
        <v>66593.750357142853</v>
      </c>
      <c r="F118" s="511">
        <f t="shared" si="22"/>
        <v>757218.36915844399</v>
      </c>
      <c r="G118" s="511">
        <f t="shared" si="23"/>
        <v>790515.24433701544</v>
      </c>
      <c r="H118" s="646">
        <f t="shared" si="26"/>
        <v>150715.24349640671</v>
      </c>
      <c r="I118" s="573">
        <f t="shared" si="24"/>
        <v>150715.24349640671</v>
      </c>
      <c r="J118" s="505">
        <f t="shared" si="20"/>
        <v>0</v>
      </c>
      <c r="K118" s="505"/>
      <c r="L118" s="513"/>
      <c r="M118" s="505">
        <f t="shared" si="25"/>
        <v>0</v>
      </c>
      <c r="N118" s="513"/>
      <c r="O118" s="505">
        <f t="shared" si="18"/>
        <v>0</v>
      </c>
      <c r="P118" s="505">
        <f t="shared" si="19"/>
        <v>0</v>
      </c>
      <c r="Q118" s="244"/>
      <c r="R118" s="244"/>
      <c r="S118" s="244"/>
      <c r="T118" s="244"/>
      <c r="U118" s="244"/>
    </row>
    <row r="119" spans="3:21" ht="12.5">
      <c r="C119" s="496">
        <f>IF(D94="","-",+C118+1)</f>
        <v>2033</v>
      </c>
      <c r="D119" s="350">
        <f>IF(F118+SUM(E$100:E118)=D$93,F118,D$93-SUM(E$100:E118))</f>
        <v>757218.36915844399</v>
      </c>
      <c r="E119" s="510">
        <f t="shared" si="21"/>
        <v>66593.750357142853</v>
      </c>
      <c r="F119" s="511">
        <f t="shared" si="22"/>
        <v>690624.61880130111</v>
      </c>
      <c r="G119" s="511">
        <f t="shared" si="23"/>
        <v>723921.49397987255</v>
      </c>
      <c r="H119" s="646">
        <f t="shared" si="26"/>
        <v>143628.76951134845</v>
      </c>
      <c r="I119" s="573">
        <f t="shared" si="24"/>
        <v>143628.76951134845</v>
      </c>
      <c r="J119" s="505">
        <f t="shared" si="20"/>
        <v>0</v>
      </c>
      <c r="K119" s="505"/>
      <c r="L119" s="513"/>
      <c r="M119" s="505">
        <f t="shared" si="25"/>
        <v>0</v>
      </c>
      <c r="N119" s="513"/>
      <c r="O119" s="505">
        <f t="shared" si="18"/>
        <v>0</v>
      </c>
      <c r="P119" s="505">
        <f t="shared" si="19"/>
        <v>0</v>
      </c>
      <c r="Q119" s="244"/>
      <c r="R119" s="244"/>
      <c r="S119" s="244"/>
      <c r="T119" s="244"/>
      <c r="U119" s="244"/>
    </row>
    <row r="120" spans="3:21" ht="12.5">
      <c r="C120" s="496">
        <f>IF(D94="","-",+C119+1)</f>
        <v>2034</v>
      </c>
      <c r="D120" s="350">
        <f>IF(F119+SUM(E$100:E119)=D$93,F119,D$93-SUM(E$100:E119))</f>
        <v>690624.61880130111</v>
      </c>
      <c r="E120" s="510">
        <f t="shared" si="21"/>
        <v>66593.750357142853</v>
      </c>
      <c r="F120" s="511">
        <f t="shared" si="22"/>
        <v>624030.86844415823</v>
      </c>
      <c r="G120" s="511">
        <f t="shared" si="23"/>
        <v>657327.74362272967</v>
      </c>
      <c r="H120" s="646">
        <f t="shared" si="26"/>
        <v>136542.2955262902</v>
      </c>
      <c r="I120" s="573">
        <f t="shared" si="24"/>
        <v>136542.2955262902</v>
      </c>
      <c r="J120" s="505">
        <f t="shared" si="20"/>
        <v>0</v>
      </c>
      <c r="K120" s="505"/>
      <c r="L120" s="513"/>
      <c r="M120" s="505">
        <f t="shared" si="25"/>
        <v>0</v>
      </c>
      <c r="N120" s="513"/>
      <c r="O120" s="505">
        <f t="shared" si="18"/>
        <v>0</v>
      </c>
      <c r="P120" s="505">
        <f t="shared" si="19"/>
        <v>0</v>
      </c>
      <c r="Q120" s="244"/>
      <c r="R120" s="244"/>
      <c r="S120" s="244"/>
      <c r="T120" s="244"/>
      <c r="U120" s="244"/>
    </row>
    <row r="121" spans="3:21" ht="12.5">
      <c r="C121" s="496">
        <f>IF(D94="","-",+C120+1)</f>
        <v>2035</v>
      </c>
      <c r="D121" s="350">
        <f>IF(F120+SUM(E$100:E120)=D$93,F120,D$93-SUM(E$100:E120))</f>
        <v>624030.86844415823</v>
      </c>
      <c r="E121" s="510">
        <f t="shared" si="21"/>
        <v>66593.750357142853</v>
      </c>
      <c r="F121" s="511">
        <f t="shared" si="22"/>
        <v>557437.11808701535</v>
      </c>
      <c r="G121" s="511">
        <f t="shared" si="23"/>
        <v>590733.99326558679</v>
      </c>
      <c r="H121" s="646">
        <f t="shared" si="26"/>
        <v>129455.82154123191</v>
      </c>
      <c r="I121" s="573">
        <f t="shared" si="24"/>
        <v>129455.82154123191</v>
      </c>
      <c r="J121" s="505">
        <f t="shared" si="20"/>
        <v>0</v>
      </c>
      <c r="K121" s="505"/>
      <c r="L121" s="513"/>
      <c r="M121" s="505">
        <f t="shared" si="25"/>
        <v>0</v>
      </c>
      <c r="N121" s="513"/>
      <c r="O121" s="505">
        <f t="shared" si="18"/>
        <v>0</v>
      </c>
      <c r="P121" s="505">
        <f t="shared" si="19"/>
        <v>0</v>
      </c>
      <c r="Q121" s="244"/>
      <c r="R121" s="244"/>
      <c r="S121" s="244"/>
      <c r="T121" s="244"/>
      <c r="U121" s="244"/>
    </row>
    <row r="122" spans="3:21" ht="12.5">
      <c r="C122" s="496">
        <f>IF(D94="","-",+C121+1)</f>
        <v>2036</v>
      </c>
      <c r="D122" s="350">
        <f>IF(F121+SUM(E$100:E121)=D$93,F121,D$93-SUM(E$100:E121))</f>
        <v>557437.11808701535</v>
      </c>
      <c r="E122" s="510">
        <f t="shared" si="21"/>
        <v>66593.750357142853</v>
      </c>
      <c r="F122" s="511">
        <f t="shared" si="22"/>
        <v>490843.36772987247</v>
      </c>
      <c r="G122" s="511">
        <f t="shared" si="23"/>
        <v>524140.24290844391</v>
      </c>
      <c r="H122" s="646">
        <f t="shared" si="26"/>
        <v>122369.34755617363</v>
      </c>
      <c r="I122" s="573">
        <f t="shared" si="24"/>
        <v>122369.34755617363</v>
      </c>
      <c r="J122" s="505">
        <f t="shared" si="20"/>
        <v>0</v>
      </c>
      <c r="K122" s="505"/>
      <c r="L122" s="513"/>
      <c r="M122" s="505">
        <f t="shared" si="25"/>
        <v>0</v>
      </c>
      <c r="N122" s="513"/>
      <c r="O122" s="505">
        <f t="shared" si="18"/>
        <v>0</v>
      </c>
      <c r="P122" s="505">
        <f t="shared" si="19"/>
        <v>0</v>
      </c>
      <c r="Q122" s="244"/>
      <c r="R122" s="244"/>
      <c r="S122" s="244"/>
      <c r="T122" s="244"/>
      <c r="U122" s="244"/>
    </row>
    <row r="123" spans="3:21" ht="12.5">
      <c r="C123" s="496">
        <f>IF(D94="","-",+C122+1)</f>
        <v>2037</v>
      </c>
      <c r="D123" s="350">
        <f>IF(F122+SUM(E$100:E122)=D$93,F122,D$93-SUM(E$100:E122))</f>
        <v>490843.36772987247</v>
      </c>
      <c r="E123" s="510">
        <f t="shared" si="21"/>
        <v>66593.750357142853</v>
      </c>
      <c r="F123" s="511">
        <f t="shared" si="22"/>
        <v>424249.61737272958</v>
      </c>
      <c r="G123" s="511">
        <f t="shared" si="23"/>
        <v>457546.49255130102</v>
      </c>
      <c r="H123" s="646">
        <f t="shared" si="26"/>
        <v>115282.87357111534</v>
      </c>
      <c r="I123" s="573">
        <f t="shared" si="24"/>
        <v>115282.87357111534</v>
      </c>
      <c r="J123" s="505">
        <f t="shared" si="20"/>
        <v>0</v>
      </c>
      <c r="K123" s="505"/>
      <c r="L123" s="513"/>
      <c r="M123" s="505">
        <f t="shared" si="25"/>
        <v>0</v>
      </c>
      <c r="N123" s="513"/>
      <c r="O123" s="505">
        <f t="shared" si="18"/>
        <v>0</v>
      </c>
      <c r="P123" s="505">
        <f t="shared" si="19"/>
        <v>0</v>
      </c>
      <c r="Q123" s="244"/>
      <c r="R123" s="244"/>
      <c r="S123" s="244"/>
      <c r="T123" s="244"/>
      <c r="U123" s="244"/>
    </row>
    <row r="124" spans="3:21" ht="12.5">
      <c r="C124" s="496">
        <f>IF(D94="","-",+C123+1)</f>
        <v>2038</v>
      </c>
      <c r="D124" s="350">
        <f>IF(F123+SUM(E$100:E123)=D$93,F123,D$93-SUM(E$100:E123))</f>
        <v>424249.61737272958</v>
      </c>
      <c r="E124" s="510">
        <f t="shared" si="21"/>
        <v>66593.750357142853</v>
      </c>
      <c r="F124" s="511">
        <f t="shared" si="22"/>
        <v>357655.8670155867</v>
      </c>
      <c r="G124" s="511">
        <f t="shared" si="23"/>
        <v>390952.74219415814</v>
      </c>
      <c r="H124" s="646">
        <f t="shared" si="26"/>
        <v>108196.39958605707</v>
      </c>
      <c r="I124" s="573">
        <f t="shared" si="24"/>
        <v>108196.39958605707</v>
      </c>
      <c r="J124" s="505">
        <f t="shared" si="20"/>
        <v>0</v>
      </c>
      <c r="K124" s="505"/>
      <c r="L124" s="513"/>
      <c r="M124" s="505">
        <f t="shared" si="25"/>
        <v>0</v>
      </c>
      <c r="N124" s="513"/>
      <c r="O124" s="505">
        <f t="shared" si="18"/>
        <v>0</v>
      </c>
      <c r="P124" s="505">
        <f t="shared" si="19"/>
        <v>0</v>
      </c>
      <c r="Q124" s="244"/>
      <c r="R124" s="244"/>
      <c r="S124" s="244"/>
      <c r="T124" s="244"/>
      <c r="U124" s="244"/>
    </row>
    <row r="125" spans="3:21" ht="12.5">
      <c r="C125" s="496">
        <f>IF(D94="","-",+C124+1)</f>
        <v>2039</v>
      </c>
      <c r="D125" s="350">
        <f>IF(F124+SUM(E$100:E124)=D$93,F124,D$93-SUM(E$100:E124))</f>
        <v>357655.8670155867</v>
      </c>
      <c r="E125" s="510">
        <f t="shared" si="21"/>
        <v>66593.750357142853</v>
      </c>
      <c r="F125" s="511">
        <f t="shared" si="22"/>
        <v>291062.11665844382</v>
      </c>
      <c r="G125" s="511">
        <f t="shared" si="23"/>
        <v>324358.99183701526</v>
      </c>
      <c r="H125" s="646">
        <f t="shared" si="26"/>
        <v>101109.9256009988</v>
      </c>
      <c r="I125" s="573">
        <f t="shared" si="24"/>
        <v>101109.9256009988</v>
      </c>
      <c r="J125" s="505">
        <f t="shared" si="20"/>
        <v>0</v>
      </c>
      <c r="K125" s="505"/>
      <c r="L125" s="513"/>
      <c r="M125" s="505">
        <f t="shared" si="25"/>
        <v>0</v>
      </c>
      <c r="N125" s="513"/>
      <c r="O125" s="505">
        <f t="shared" si="18"/>
        <v>0</v>
      </c>
      <c r="P125" s="505">
        <f t="shared" si="19"/>
        <v>0</v>
      </c>
      <c r="Q125" s="244"/>
      <c r="R125" s="244"/>
      <c r="S125" s="244"/>
      <c r="T125" s="244"/>
      <c r="U125" s="244"/>
    </row>
    <row r="126" spans="3:21" ht="12.5">
      <c r="C126" s="496">
        <f>IF(D94="","-",+C125+1)</f>
        <v>2040</v>
      </c>
      <c r="D126" s="350">
        <f>IF(F125+SUM(E$100:E125)=D$93,F125,D$93-SUM(E$100:E125))</f>
        <v>291062.11665844382</v>
      </c>
      <c r="E126" s="510">
        <f t="shared" si="21"/>
        <v>66593.750357142853</v>
      </c>
      <c r="F126" s="511">
        <f t="shared" si="22"/>
        <v>224468.36630130096</v>
      </c>
      <c r="G126" s="511">
        <f t="shared" si="23"/>
        <v>257765.24147987238</v>
      </c>
      <c r="H126" s="646">
        <f t="shared" si="26"/>
        <v>94023.451615940518</v>
      </c>
      <c r="I126" s="573">
        <f t="shared" si="24"/>
        <v>94023.451615940518</v>
      </c>
      <c r="J126" s="505">
        <f t="shared" si="20"/>
        <v>0</v>
      </c>
      <c r="K126" s="505"/>
      <c r="L126" s="513"/>
      <c r="M126" s="505">
        <f t="shared" si="25"/>
        <v>0</v>
      </c>
      <c r="N126" s="513"/>
      <c r="O126" s="505">
        <f t="shared" si="18"/>
        <v>0</v>
      </c>
      <c r="P126" s="505">
        <f t="shared" si="19"/>
        <v>0</v>
      </c>
      <c r="Q126" s="244"/>
      <c r="R126" s="244"/>
      <c r="S126" s="244"/>
      <c r="T126" s="244"/>
      <c r="U126" s="244"/>
    </row>
    <row r="127" spans="3:21" ht="12.5">
      <c r="C127" s="496">
        <f>IF(D94="","-",+C126+1)</f>
        <v>2041</v>
      </c>
      <c r="D127" s="350">
        <f>IF(F126+SUM(E$100:E126)=D$93,F126,D$93-SUM(E$100:E126))</f>
        <v>224468.36630130096</v>
      </c>
      <c r="E127" s="510">
        <f t="shared" si="21"/>
        <v>66593.750357142853</v>
      </c>
      <c r="F127" s="511">
        <f t="shared" si="22"/>
        <v>157874.61594415811</v>
      </c>
      <c r="G127" s="511">
        <f t="shared" si="23"/>
        <v>191171.49112272955</v>
      </c>
      <c r="H127" s="646">
        <f t="shared" si="26"/>
        <v>86936.977630882262</v>
      </c>
      <c r="I127" s="573">
        <f t="shared" si="24"/>
        <v>86936.977630882262</v>
      </c>
      <c r="J127" s="505">
        <f t="shared" si="20"/>
        <v>0</v>
      </c>
      <c r="K127" s="505"/>
      <c r="L127" s="513"/>
      <c r="M127" s="505">
        <f t="shared" si="25"/>
        <v>0</v>
      </c>
      <c r="N127" s="513"/>
      <c r="O127" s="505">
        <f t="shared" si="18"/>
        <v>0</v>
      </c>
      <c r="P127" s="505">
        <f t="shared" si="19"/>
        <v>0</v>
      </c>
      <c r="Q127" s="244"/>
      <c r="R127" s="244"/>
      <c r="S127" s="244"/>
      <c r="T127" s="244"/>
      <c r="U127" s="244"/>
    </row>
    <row r="128" spans="3:21" ht="12.5">
      <c r="C128" s="496">
        <f>IF(D94="","-",+C127+1)</f>
        <v>2042</v>
      </c>
      <c r="D128" s="350">
        <f>IF(F127+SUM(E$100:E127)=D$93,F127,D$93-SUM(E$100:E127))</f>
        <v>157874.61594415811</v>
      </c>
      <c r="E128" s="510">
        <f t="shared" si="21"/>
        <v>66593.750357142853</v>
      </c>
      <c r="F128" s="511">
        <f t="shared" si="22"/>
        <v>91280.865587015258</v>
      </c>
      <c r="G128" s="511">
        <f t="shared" si="23"/>
        <v>124577.74076558668</v>
      </c>
      <c r="H128" s="646">
        <f t="shared" si="26"/>
        <v>79850.503645823977</v>
      </c>
      <c r="I128" s="573">
        <f t="shared" si="24"/>
        <v>79850.503645823977</v>
      </c>
      <c r="J128" s="505">
        <f t="shared" si="20"/>
        <v>0</v>
      </c>
      <c r="K128" s="505"/>
      <c r="L128" s="513"/>
      <c r="M128" s="505">
        <f t="shared" si="25"/>
        <v>0</v>
      </c>
      <c r="N128" s="513"/>
      <c r="O128" s="505">
        <f t="shared" si="18"/>
        <v>0</v>
      </c>
      <c r="P128" s="505">
        <f t="shared" si="19"/>
        <v>0</v>
      </c>
      <c r="Q128" s="244"/>
      <c r="R128" s="244"/>
      <c r="S128" s="244"/>
      <c r="T128" s="244"/>
      <c r="U128" s="244"/>
    </row>
    <row r="129" spans="3:21" ht="12.5">
      <c r="C129" s="496">
        <f>IF(D94="","-",+C128+1)</f>
        <v>2043</v>
      </c>
      <c r="D129" s="350">
        <f>IF(F128+SUM(E$100:E128)=D$93,F128,D$93-SUM(E$100:E128))</f>
        <v>91280.865587015258</v>
      </c>
      <c r="E129" s="510">
        <f t="shared" si="21"/>
        <v>66593.750357142853</v>
      </c>
      <c r="F129" s="511">
        <f t="shared" si="22"/>
        <v>24687.115229872405</v>
      </c>
      <c r="G129" s="511">
        <f t="shared" si="23"/>
        <v>57983.990408443831</v>
      </c>
      <c r="H129" s="646">
        <f t="shared" si="26"/>
        <v>72764.029660765707</v>
      </c>
      <c r="I129" s="573">
        <f t="shared" si="24"/>
        <v>72764.029660765707</v>
      </c>
      <c r="J129" s="505">
        <f t="shared" si="20"/>
        <v>0</v>
      </c>
      <c r="K129" s="505"/>
      <c r="L129" s="513"/>
      <c r="M129" s="505">
        <f t="shared" si="25"/>
        <v>0</v>
      </c>
      <c r="N129" s="513"/>
      <c r="O129" s="505">
        <f t="shared" si="18"/>
        <v>0</v>
      </c>
      <c r="P129" s="505">
        <f t="shared" si="19"/>
        <v>0</v>
      </c>
      <c r="Q129" s="244"/>
      <c r="R129" s="244"/>
      <c r="S129" s="244"/>
      <c r="T129" s="244"/>
      <c r="U129" s="244"/>
    </row>
    <row r="130" spans="3:21" ht="12.5">
      <c r="C130" s="496">
        <f>IF(D94="","-",+C129+1)</f>
        <v>2044</v>
      </c>
      <c r="D130" s="350">
        <f>IF(F129+SUM(E$100:E129)=D$93,F129,D$93-SUM(E$100:E129))</f>
        <v>24687.115229872405</v>
      </c>
      <c r="E130" s="510">
        <f t="shared" si="21"/>
        <v>24687.115229872405</v>
      </c>
      <c r="F130" s="511">
        <f t="shared" si="22"/>
        <v>0</v>
      </c>
      <c r="G130" s="511">
        <f t="shared" si="23"/>
        <v>12343.557614936202</v>
      </c>
      <c r="H130" s="646">
        <f t="shared" si="26"/>
        <v>26000.636385419264</v>
      </c>
      <c r="I130" s="573">
        <f t="shared" si="24"/>
        <v>26000.636385419264</v>
      </c>
      <c r="J130" s="505">
        <f t="shared" si="20"/>
        <v>0</v>
      </c>
      <c r="K130" s="505"/>
      <c r="L130" s="513"/>
      <c r="M130" s="505">
        <f t="shared" si="25"/>
        <v>0</v>
      </c>
      <c r="N130" s="513"/>
      <c r="O130" s="505">
        <f t="shared" si="18"/>
        <v>0</v>
      </c>
      <c r="P130" s="505">
        <f t="shared" si="19"/>
        <v>0</v>
      </c>
      <c r="Q130" s="244"/>
      <c r="R130" s="244"/>
      <c r="S130" s="244"/>
      <c r="T130" s="244"/>
      <c r="U130" s="244"/>
    </row>
    <row r="131" spans="3:21" ht="12.5">
      <c r="C131" s="496">
        <f>IF(D94="","-",+C130+1)</f>
        <v>2045</v>
      </c>
      <c r="D131" s="350">
        <f>IF(F130+SUM(E$100:E130)=D$93,F130,D$93-SUM(E$100:E130))</f>
        <v>0</v>
      </c>
      <c r="E131" s="510">
        <f t="shared" si="21"/>
        <v>0</v>
      </c>
      <c r="F131" s="511">
        <f t="shared" si="22"/>
        <v>0</v>
      </c>
      <c r="G131" s="511">
        <f t="shared" si="23"/>
        <v>0</v>
      </c>
      <c r="H131" s="646">
        <f t="shared" si="26"/>
        <v>0</v>
      </c>
      <c r="I131" s="573">
        <f t="shared" si="24"/>
        <v>0</v>
      </c>
      <c r="J131" s="505">
        <f t="shared" si="20"/>
        <v>0</v>
      </c>
      <c r="K131" s="505"/>
      <c r="L131" s="513"/>
      <c r="M131" s="505">
        <f t="shared" si="25"/>
        <v>0</v>
      </c>
      <c r="N131" s="513"/>
      <c r="O131" s="505">
        <f t="shared" si="18"/>
        <v>0</v>
      </c>
      <c r="P131" s="505">
        <f t="shared" si="19"/>
        <v>0</v>
      </c>
      <c r="Q131" s="244"/>
      <c r="R131" s="244"/>
      <c r="S131" s="244"/>
      <c r="T131" s="244"/>
      <c r="U131" s="244"/>
    </row>
    <row r="132" spans="3:21" ht="12.5">
      <c r="C132" s="496">
        <f>IF(D94="","-",+C131+1)</f>
        <v>2046</v>
      </c>
      <c r="D132" s="350">
        <f>IF(F131+SUM(E$100:E131)=D$93,F131,D$93-SUM(E$100:E131))</f>
        <v>0</v>
      </c>
      <c r="E132" s="510">
        <f t="shared" si="21"/>
        <v>0</v>
      </c>
      <c r="F132" s="511">
        <f t="shared" si="22"/>
        <v>0</v>
      </c>
      <c r="G132" s="511">
        <f t="shared" si="23"/>
        <v>0</v>
      </c>
      <c r="H132" s="646">
        <f t="shared" si="26"/>
        <v>0</v>
      </c>
      <c r="I132" s="573">
        <f t="shared" si="24"/>
        <v>0</v>
      </c>
      <c r="J132" s="505">
        <f t="shared" si="20"/>
        <v>0</v>
      </c>
      <c r="K132" s="505"/>
      <c r="L132" s="513"/>
      <c r="M132" s="505">
        <f t="shared" ref="M132:M155" si="27">IF(L542&lt;&gt;0,+H542-L542,0)</f>
        <v>0</v>
      </c>
      <c r="N132" s="513"/>
      <c r="O132" s="505">
        <f t="shared" ref="O132:O155" si="28">IF(N542&lt;&gt;0,+I542-N542,0)</f>
        <v>0</v>
      </c>
      <c r="P132" s="505">
        <f t="shared" ref="P132:P155" si="29">+O542-M542</f>
        <v>0</v>
      </c>
      <c r="Q132" s="244"/>
      <c r="R132" s="244"/>
      <c r="S132" s="244"/>
      <c r="T132" s="244"/>
      <c r="U132" s="244"/>
    </row>
    <row r="133" spans="3:21" ht="12.5">
      <c r="C133" s="496">
        <f>IF(D94="","-",+C132+1)</f>
        <v>2047</v>
      </c>
      <c r="D133" s="350">
        <f>IF(F132+SUM(E$100:E132)=D$93,F132,D$93-SUM(E$100:E132))</f>
        <v>0</v>
      </c>
      <c r="E133" s="510">
        <f t="shared" si="21"/>
        <v>0</v>
      </c>
      <c r="F133" s="511">
        <f t="shared" si="22"/>
        <v>0</v>
      </c>
      <c r="G133" s="511">
        <f t="shared" si="23"/>
        <v>0</v>
      </c>
      <c r="H133" s="646">
        <f t="shared" si="26"/>
        <v>0</v>
      </c>
      <c r="I133" s="573">
        <f t="shared" si="24"/>
        <v>0</v>
      </c>
      <c r="J133" s="505">
        <f t="shared" si="20"/>
        <v>0</v>
      </c>
      <c r="K133" s="505"/>
      <c r="L133" s="513"/>
      <c r="M133" s="505">
        <f t="shared" si="27"/>
        <v>0</v>
      </c>
      <c r="N133" s="513"/>
      <c r="O133" s="505">
        <f t="shared" si="28"/>
        <v>0</v>
      </c>
      <c r="P133" s="505">
        <f t="shared" si="29"/>
        <v>0</v>
      </c>
      <c r="Q133" s="244"/>
      <c r="R133" s="244"/>
      <c r="S133" s="244"/>
      <c r="T133" s="244"/>
      <c r="U133" s="244"/>
    </row>
    <row r="134" spans="3:21" ht="12.5">
      <c r="C134" s="496">
        <f>IF(D94="","-",+C133+1)</f>
        <v>2048</v>
      </c>
      <c r="D134" s="350">
        <f>IF(F133+SUM(E$100:E133)=D$93,F133,D$93-SUM(E$100:E133))</f>
        <v>0</v>
      </c>
      <c r="E134" s="510">
        <f t="shared" si="21"/>
        <v>0</v>
      </c>
      <c r="F134" s="511">
        <f t="shared" si="22"/>
        <v>0</v>
      </c>
      <c r="G134" s="511">
        <f t="shared" si="23"/>
        <v>0</v>
      </c>
      <c r="H134" s="646">
        <f t="shared" si="26"/>
        <v>0</v>
      </c>
      <c r="I134" s="573">
        <f t="shared" si="24"/>
        <v>0</v>
      </c>
      <c r="J134" s="505">
        <f t="shared" si="20"/>
        <v>0</v>
      </c>
      <c r="K134" s="505"/>
      <c r="L134" s="513"/>
      <c r="M134" s="505">
        <f t="shared" si="27"/>
        <v>0</v>
      </c>
      <c r="N134" s="513"/>
      <c r="O134" s="505">
        <f t="shared" si="28"/>
        <v>0</v>
      </c>
      <c r="P134" s="505">
        <f t="shared" si="29"/>
        <v>0</v>
      </c>
      <c r="Q134" s="244"/>
      <c r="R134" s="244"/>
      <c r="S134" s="244"/>
      <c r="T134" s="244"/>
      <c r="U134" s="244"/>
    </row>
    <row r="135" spans="3:21" ht="12.5">
      <c r="C135" s="496">
        <f>IF(D94="","-",+C134+1)</f>
        <v>2049</v>
      </c>
      <c r="D135" s="350">
        <f>IF(F134+SUM(E$100:E134)=D$93,F134,D$93-SUM(E$100:E134))</f>
        <v>0</v>
      </c>
      <c r="E135" s="510">
        <f t="shared" si="21"/>
        <v>0</v>
      </c>
      <c r="F135" s="511">
        <f t="shared" si="22"/>
        <v>0</v>
      </c>
      <c r="G135" s="511">
        <f t="shared" si="23"/>
        <v>0</v>
      </c>
      <c r="H135" s="646">
        <f t="shared" si="26"/>
        <v>0</v>
      </c>
      <c r="I135" s="573">
        <f t="shared" si="24"/>
        <v>0</v>
      </c>
      <c r="J135" s="505">
        <f t="shared" si="20"/>
        <v>0</v>
      </c>
      <c r="K135" s="505"/>
      <c r="L135" s="513"/>
      <c r="M135" s="505">
        <f t="shared" si="27"/>
        <v>0</v>
      </c>
      <c r="N135" s="513"/>
      <c r="O135" s="505">
        <f t="shared" si="28"/>
        <v>0</v>
      </c>
      <c r="P135" s="505">
        <f t="shared" si="29"/>
        <v>0</v>
      </c>
      <c r="Q135" s="244"/>
      <c r="R135" s="244"/>
      <c r="S135" s="244"/>
      <c r="T135" s="244"/>
      <c r="U135" s="244"/>
    </row>
    <row r="136" spans="3:21" ht="12.5">
      <c r="C136" s="496">
        <f>IF(D94="","-",+C135+1)</f>
        <v>2050</v>
      </c>
      <c r="D136" s="350">
        <f>IF(F135+SUM(E$100:E135)=D$93,F135,D$93-SUM(E$100:E135))</f>
        <v>0</v>
      </c>
      <c r="E136" s="510">
        <f t="shared" si="21"/>
        <v>0</v>
      </c>
      <c r="F136" s="511">
        <f t="shared" si="22"/>
        <v>0</v>
      </c>
      <c r="G136" s="511">
        <f t="shared" si="23"/>
        <v>0</v>
      </c>
      <c r="H136" s="646">
        <f t="shared" si="26"/>
        <v>0</v>
      </c>
      <c r="I136" s="573">
        <f t="shared" si="24"/>
        <v>0</v>
      </c>
      <c r="J136" s="505">
        <f t="shared" si="20"/>
        <v>0</v>
      </c>
      <c r="K136" s="505"/>
      <c r="L136" s="513"/>
      <c r="M136" s="505">
        <f t="shared" si="27"/>
        <v>0</v>
      </c>
      <c r="N136" s="513"/>
      <c r="O136" s="505">
        <f t="shared" si="28"/>
        <v>0</v>
      </c>
      <c r="P136" s="505">
        <f t="shared" si="29"/>
        <v>0</v>
      </c>
      <c r="Q136" s="244"/>
      <c r="R136" s="244"/>
      <c r="S136" s="244"/>
      <c r="T136" s="244"/>
      <c r="U136" s="244"/>
    </row>
    <row r="137" spans="3:21" ht="12.5">
      <c r="C137" s="496">
        <f>IF(D94="","-",+C136+1)</f>
        <v>2051</v>
      </c>
      <c r="D137" s="350">
        <f>IF(F136+SUM(E$100:E136)=D$93,F136,D$93-SUM(E$100:E136))</f>
        <v>0</v>
      </c>
      <c r="E137" s="510">
        <f t="shared" si="21"/>
        <v>0</v>
      </c>
      <c r="F137" s="511">
        <f t="shared" si="22"/>
        <v>0</v>
      </c>
      <c r="G137" s="511">
        <f t="shared" si="23"/>
        <v>0</v>
      </c>
      <c r="H137" s="646">
        <f t="shared" si="26"/>
        <v>0</v>
      </c>
      <c r="I137" s="573">
        <f t="shared" si="24"/>
        <v>0</v>
      </c>
      <c r="J137" s="505">
        <f t="shared" si="20"/>
        <v>0</v>
      </c>
      <c r="K137" s="505"/>
      <c r="L137" s="513"/>
      <c r="M137" s="505">
        <f t="shared" si="27"/>
        <v>0</v>
      </c>
      <c r="N137" s="513"/>
      <c r="O137" s="505">
        <f t="shared" si="28"/>
        <v>0</v>
      </c>
      <c r="P137" s="505">
        <f t="shared" si="29"/>
        <v>0</v>
      </c>
      <c r="Q137" s="244"/>
      <c r="R137" s="244"/>
      <c r="S137" s="244"/>
      <c r="T137" s="244"/>
      <c r="U137" s="244"/>
    </row>
    <row r="138" spans="3:21" ht="12.5">
      <c r="C138" s="496">
        <f>IF(D94="","-",+C137+1)</f>
        <v>2052</v>
      </c>
      <c r="D138" s="350">
        <f>IF(F137+SUM(E$100:E137)=D$93,F137,D$93-SUM(E$100:E137))</f>
        <v>0</v>
      </c>
      <c r="E138" s="510">
        <f t="shared" si="21"/>
        <v>0</v>
      </c>
      <c r="F138" s="511">
        <f t="shared" si="22"/>
        <v>0</v>
      </c>
      <c r="G138" s="511">
        <f t="shared" si="23"/>
        <v>0</v>
      </c>
      <c r="H138" s="646">
        <f t="shared" si="26"/>
        <v>0</v>
      </c>
      <c r="I138" s="573">
        <f t="shared" si="24"/>
        <v>0</v>
      </c>
      <c r="J138" s="505">
        <f t="shared" si="20"/>
        <v>0</v>
      </c>
      <c r="K138" s="505"/>
      <c r="L138" s="513"/>
      <c r="M138" s="505">
        <f t="shared" si="27"/>
        <v>0</v>
      </c>
      <c r="N138" s="513"/>
      <c r="O138" s="505">
        <f t="shared" si="28"/>
        <v>0</v>
      </c>
      <c r="P138" s="505">
        <f t="shared" si="29"/>
        <v>0</v>
      </c>
      <c r="Q138" s="244"/>
      <c r="R138" s="244"/>
      <c r="S138" s="244"/>
      <c r="T138" s="244"/>
      <c r="U138" s="244"/>
    </row>
    <row r="139" spans="3:21" ht="12.5">
      <c r="C139" s="496">
        <f>IF(D94="","-",+C138+1)</f>
        <v>2053</v>
      </c>
      <c r="D139" s="350">
        <f>IF(F138+SUM(E$100:E138)=D$93,F138,D$93-SUM(E$100:E138))</f>
        <v>0</v>
      </c>
      <c r="E139" s="510">
        <f t="shared" si="21"/>
        <v>0</v>
      </c>
      <c r="F139" s="511">
        <f t="shared" si="22"/>
        <v>0</v>
      </c>
      <c r="G139" s="511">
        <f t="shared" si="23"/>
        <v>0</v>
      </c>
      <c r="H139" s="646">
        <f t="shared" si="26"/>
        <v>0</v>
      </c>
      <c r="I139" s="573">
        <f t="shared" si="24"/>
        <v>0</v>
      </c>
      <c r="J139" s="505">
        <f t="shared" si="20"/>
        <v>0</v>
      </c>
      <c r="K139" s="505"/>
      <c r="L139" s="513"/>
      <c r="M139" s="505">
        <f t="shared" si="27"/>
        <v>0</v>
      </c>
      <c r="N139" s="513"/>
      <c r="O139" s="505">
        <f t="shared" si="28"/>
        <v>0</v>
      </c>
      <c r="P139" s="505">
        <f t="shared" si="29"/>
        <v>0</v>
      </c>
      <c r="Q139" s="244"/>
      <c r="R139" s="244"/>
      <c r="S139" s="244"/>
      <c r="T139" s="244"/>
      <c r="U139" s="244"/>
    </row>
    <row r="140" spans="3:21" ht="12.5">
      <c r="C140" s="496">
        <f>IF(D94="","-",+C139+1)</f>
        <v>2054</v>
      </c>
      <c r="D140" s="350">
        <f>IF(F139+SUM(E$100:E139)=D$93,F139,D$93-SUM(E$100:E139))</f>
        <v>0</v>
      </c>
      <c r="E140" s="510">
        <f t="shared" si="21"/>
        <v>0</v>
      </c>
      <c r="F140" s="511">
        <f t="shared" si="22"/>
        <v>0</v>
      </c>
      <c r="G140" s="511">
        <f t="shared" si="23"/>
        <v>0</v>
      </c>
      <c r="H140" s="646">
        <f t="shared" si="26"/>
        <v>0</v>
      </c>
      <c r="I140" s="573">
        <f t="shared" si="24"/>
        <v>0</v>
      </c>
      <c r="J140" s="505">
        <f t="shared" si="20"/>
        <v>0</v>
      </c>
      <c r="K140" s="505"/>
      <c r="L140" s="513"/>
      <c r="M140" s="505">
        <f t="shared" si="27"/>
        <v>0</v>
      </c>
      <c r="N140" s="513"/>
      <c r="O140" s="505">
        <f t="shared" si="28"/>
        <v>0</v>
      </c>
      <c r="P140" s="505">
        <f t="shared" si="29"/>
        <v>0</v>
      </c>
      <c r="Q140" s="244"/>
      <c r="R140" s="244"/>
      <c r="S140" s="244"/>
      <c r="T140" s="244"/>
      <c r="U140" s="244"/>
    </row>
    <row r="141" spans="3:21" ht="12.5">
      <c r="C141" s="496">
        <f>IF(D94="","-",+C140+1)</f>
        <v>2055</v>
      </c>
      <c r="D141" s="350">
        <f>IF(F140+SUM(E$100:E140)=D$93,F140,D$93-SUM(E$100:E140))</f>
        <v>0</v>
      </c>
      <c r="E141" s="510">
        <f t="shared" si="21"/>
        <v>0</v>
      </c>
      <c r="F141" s="511">
        <f t="shared" si="22"/>
        <v>0</v>
      </c>
      <c r="G141" s="511">
        <f t="shared" si="23"/>
        <v>0</v>
      </c>
      <c r="H141" s="646">
        <f t="shared" si="26"/>
        <v>0</v>
      </c>
      <c r="I141" s="573">
        <f t="shared" si="24"/>
        <v>0</v>
      </c>
      <c r="J141" s="505">
        <f t="shared" si="20"/>
        <v>0</v>
      </c>
      <c r="K141" s="505"/>
      <c r="L141" s="513"/>
      <c r="M141" s="505">
        <f t="shared" si="27"/>
        <v>0</v>
      </c>
      <c r="N141" s="513"/>
      <c r="O141" s="505">
        <f t="shared" si="28"/>
        <v>0</v>
      </c>
      <c r="P141" s="505">
        <f t="shared" si="29"/>
        <v>0</v>
      </c>
      <c r="Q141" s="244"/>
      <c r="R141" s="244"/>
      <c r="S141" s="244"/>
      <c r="T141" s="244"/>
      <c r="U141" s="244"/>
    </row>
    <row r="142" spans="3:21" ht="12.5">
      <c r="C142" s="496">
        <f>IF(D94="","-",+C141+1)</f>
        <v>2056</v>
      </c>
      <c r="D142" s="350">
        <f>IF(F141+SUM(E$100:E141)=D$93,F141,D$93-SUM(E$100:E141))</f>
        <v>0</v>
      </c>
      <c r="E142" s="510">
        <f t="shared" si="21"/>
        <v>0</v>
      </c>
      <c r="F142" s="511">
        <f t="shared" si="22"/>
        <v>0</v>
      </c>
      <c r="G142" s="511">
        <f t="shared" si="23"/>
        <v>0</v>
      </c>
      <c r="H142" s="646">
        <f t="shared" si="26"/>
        <v>0</v>
      </c>
      <c r="I142" s="573">
        <f t="shared" si="24"/>
        <v>0</v>
      </c>
      <c r="J142" s="505">
        <f t="shared" si="20"/>
        <v>0</v>
      </c>
      <c r="K142" s="505"/>
      <c r="L142" s="513"/>
      <c r="M142" s="505">
        <f t="shared" si="27"/>
        <v>0</v>
      </c>
      <c r="N142" s="513"/>
      <c r="O142" s="505">
        <f t="shared" si="28"/>
        <v>0</v>
      </c>
      <c r="P142" s="505">
        <f t="shared" si="29"/>
        <v>0</v>
      </c>
      <c r="Q142" s="244"/>
      <c r="R142" s="244"/>
      <c r="S142" s="244"/>
      <c r="T142" s="244"/>
      <c r="U142" s="244"/>
    </row>
    <row r="143" spans="3:21" ht="12.5">
      <c r="C143" s="496">
        <f>IF(D94="","-",+C142+1)</f>
        <v>2057</v>
      </c>
      <c r="D143" s="350">
        <f>IF(F142+SUM(E$100:E142)=D$93,F142,D$93-SUM(E$100:E142))</f>
        <v>0</v>
      </c>
      <c r="E143" s="510">
        <f t="shared" si="21"/>
        <v>0</v>
      </c>
      <c r="F143" s="511">
        <f t="shared" si="22"/>
        <v>0</v>
      </c>
      <c r="G143" s="511">
        <f t="shared" si="23"/>
        <v>0</v>
      </c>
      <c r="H143" s="646">
        <f t="shared" si="26"/>
        <v>0</v>
      </c>
      <c r="I143" s="573">
        <f t="shared" si="24"/>
        <v>0</v>
      </c>
      <c r="J143" s="505">
        <f t="shared" si="20"/>
        <v>0</v>
      </c>
      <c r="K143" s="505"/>
      <c r="L143" s="513"/>
      <c r="M143" s="505">
        <f t="shared" si="27"/>
        <v>0</v>
      </c>
      <c r="N143" s="513"/>
      <c r="O143" s="505">
        <f t="shared" si="28"/>
        <v>0</v>
      </c>
      <c r="P143" s="505">
        <f t="shared" si="29"/>
        <v>0</v>
      </c>
      <c r="Q143" s="244"/>
      <c r="R143" s="244"/>
      <c r="S143" s="244"/>
      <c r="T143" s="244"/>
      <c r="U143" s="244"/>
    </row>
    <row r="144" spans="3:21" ht="12.5">
      <c r="C144" s="496">
        <f>IF(D94="","-",+C143+1)</f>
        <v>2058</v>
      </c>
      <c r="D144" s="350">
        <f>IF(F143+SUM(E$100:E143)=D$93,F143,D$93-SUM(E$100:E143))</f>
        <v>0</v>
      </c>
      <c r="E144" s="510">
        <f t="shared" si="21"/>
        <v>0</v>
      </c>
      <c r="F144" s="511">
        <f t="shared" si="22"/>
        <v>0</v>
      </c>
      <c r="G144" s="511">
        <f t="shared" si="23"/>
        <v>0</v>
      </c>
      <c r="H144" s="646">
        <f t="shared" si="26"/>
        <v>0</v>
      </c>
      <c r="I144" s="573">
        <f t="shared" si="24"/>
        <v>0</v>
      </c>
      <c r="J144" s="505">
        <f t="shared" si="20"/>
        <v>0</v>
      </c>
      <c r="K144" s="505"/>
      <c r="L144" s="513"/>
      <c r="M144" s="505">
        <f t="shared" si="27"/>
        <v>0</v>
      </c>
      <c r="N144" s="513"/>
      <c r="O144" s="505">
        <f t="shared" si="28"/>
        <v>0</v>
      </c>
      <c r="P144" s="505">
        <f t="shared" si="29"/>
        <v>0</v>
      </c>
      <c r="Q144" s="244"/>
      <c r="R144" s="244"/>
      <c r="S144" s="244"/>
      <c r="T144" s="244"/>
      <c r="U144" s="244"/>
    </row>
    <row r="145" spans="3:21" ht="12.5">
      <c r="C145" s="496">
        <f>IF(D94="","-",+C144+1)</f>
        <v>2059</v>
      </c>
      <c r="D145" s="350">
        <f>IF(F144+SUM(E$100:E144)=D$93,F144,D$93-SUM(E$100:E144))</f>
        <v>0</v>
      </c>
      <c r="E145" s="510">
        <f t="shared" si="21"/>
        <v>0</v>
      </c>
      <c r="F145" s="511">
        <f t="shared" si="22"/>
        <v>0</v>
      </c>
      <c r="G145" s="511">
        <f t="shared" si="23"/>
        <v>0</v>
      </c>
      <c r="H145" s="646">
        <f t="shared" si="26"/>
        <v>0</v>
      </c>
      <c r="I145" s="573">
        <f t="shared" si="24"/>
        <v>0</v>
      </c>
      <c r="J145" s="505">
        <f t="shared" si="20"/>
        <v>0</v>
      </c>
      <c r="K145" s="505"/>
      <c r="L145" s="513"/>
      <c r="M145" s="505">
        <f t="shared" si="27"/>
        <v>0</v>
      </c>
      <c r="N145" s="513"/>
      <c r="O145" s="505">
        <f t="shared" si="28"/>
        <v>0</v>
      </c>
      <c r="P145" s="505">
        <f t="shared" si="29"/>
        <v>0</v>
      </c>
      <c r="Q145" s="244"/>
      <c r="R145" s="244"/>
      <c r="S145" s="244"/>
      <c r="T145" s="244"/>
      <c r="U145" s="244"/>
    </row>
    <row r="146" spans="3:21" ht="12.5">
      <c r="C146" s="496">
        <f>IF(D94="","-",+C145+1)</f>
        <v>2060</v>
      </c>
      <c r="D146" s="350">
        <f>IF(F145+SUM(E$100:E145)=D$93,F145,D$93-SUM(E$100:E145))</f>
        <v>0</v>
      </c>
      <c r="E146" s="510">
        <f t="shared" si="21"/>
        <v>0</v>
      </c>
      <c r="F146" s="511">
        <f t="shared" si="22"/>
        <v>0</v>
      </c>
      <c r="G146" s="511">
        <f t="shared" si="23"/>
        <v>0</v>
      </c>
      <c r="H146" s="646">
        <f t="shared" si="26"/>
        <v>0</v>
      </c>
      <c r="I146" s="573">
        <f t="shared" si="24"/>
        <v>0</v>
      </c>
      <c r="J146" s="505">
        <f t="shared" si="20"/>
        <v>0</v>
      </c>
      <c r="K146" s="505"/>
      <c r="L146" s="513"/>
      <c r="M146" s="505">
        <f t="shared" si="27"/>
        <v>0</v>
      </c>
      <c r="N146" s="513"/>
      <c r="O146" s="505">
        <f t="shared" si="28"/>
        <v>0</v>
      </c>
      <c r="P146" s="505">
        <f t="shared" si="29"/>
        <v>0</v>
      </c>
      <c r="Q146" s="244"/>
      <c r="R146" s="244"/>
      <c r="S146" s="244"/>
      <c r="T146" s="244"/>
      <c r="U146" s="244"/>
    </row>
    <row r="147" spans="3:21" ht="12.5">
      <c r="C147" s="496">
        <f>IF(D94="","-",+C146+1)</f>
        <v>2061</v>
      </c>
      <c r="D147" s="350">
        <f>IF(F146+SUM(E$100:E146)=D$93,F146,D$93-SUM(E$100:E146))</f>
        <v>0</v>
      </c>
      <c r="E147" s="510">
        <f t="shared" si="21"/>
        <v>0</v>
      </c>
      <c r="F147" s="511">
        <f t="shared" si="22"/>
        <v>0</v>
      </c>
      <c r="G147" s="511">
        <f t="shared" si="23"/>
        <v>0</v>
      </c>
      <c r="H147" s="646">
        <f t="shared" si="26"/>
        <v>0</v>
      </c>
      <c r="I147" s="573">
        <f t="shared" si="24"/>
        <v>0</v>
      </c>
      <c r="J147" s="505">
        <f t="shared" si="20"/>
        <v>0</v>
      </c>
      <c r="K147" s="505"/>
      <c r="L147" s="513"/>
      <c r="M147" s="505">
        <f t="shared" si="27"/>
        <v>0</v>
      </c>
      <c r="N147" s="513"/>
      <c r="O147" s="505">
        <f t="shared" si="28"/>
        <v>0</v>
      </c>
      <c r="P147" s="505">
        <f t="shared" si="29"/>
        <v>0</v>
      </c>
      <c r="Q147" s="244"/>
      <c r="R147" s="244"/>
      <c r="S147" s="244"/>
      <c r="T147" s="244"/>
      <c r="U147" s="244"/>
    </row>
    <row r="148" spans="3:21" ht="12.5">
      <c r="C148" s="496">
        <f>IF(D94="","-",+C147+1)</f>
        <v>2062</v>
      </c>
      <c r="D148" s="350">
        <f>IF(F147+SUM(E$100:E147)=D$93,F147,D$93-SUM(E$100:E147))</f>
        <v>0</v>
      </c>
      <c r="E148" s="510">
        <f t="shared" si="21"/>
        <v>0</v>
      </c>
      <c r="F148" s="511">
        <f t="shared" si="22"/>
        <v>0</v>
      </c>
      <c r="G148" s="511">
        <f t="shared" si="23"/>
        <v>0</v>
      </c>
      <c r="H148" s="646">
        <f t="shared" si="26"/>
        <v>0</v>
      </c>
      <c r="I148" s="573">
        <f t="shared" si="24"/>
        <v>0</v>
      </c>
      <c r="J148" s="505">
        <f t="shared" si="20"/>
        <v>0</v>
      </c>
      <c r="K148" s="505"/>
      <c r="L148" s="513"/>
      <c r="M148" s="505">
        <f t="shared" si="27"/>
        <v>0</v>
      </c>
      <c r="N148" s="513"/>
      <c r="O148" s="505">
        <f t="shared" si="28"/>
        <v>0</v>
      </c>
      <c r="P148" s="505">
        <f t="shared" si="29"/>
        <v>0</v>
      </c>
      <c r="Q148" s="244"/>
      <c r="R148" s="244"/>
      <c r="S148" s="244"/>
      <c r="T148" s="244"/>
      <c r="U148" s="244"/>
    </row>
    <row r="149" spans="3:21" ht="12.5">
      <c r="C149" s="496">
        <f>IF(D94="","-",+C148+1)</f>
        <v>2063</v>
      </c>
      <c r="D149" s="350">
        <f>IF(F148+SUM(E$100:E148)=D$93,F148,D$93-SUM(E$100:E148))</f>
        <v>0</v>
      </c>
      <c r="E149" s="510">
        <f t="shared" si="21"/>
        <v>0</v>
      </c>
      <c r="F149" s="511">
        <f t="shared" si="22"/>
        <v>0</v>
      </c>
      <c r="G149" s="511">
        <f t="shared" si="23"/>
        <v>0</v>
      </c>
      <c r="H149" s="646">
        <f t="shared" si="26"/>
        <v>0</v>
      </c>
      <c r="I149" s="573">
        <f t="shared" si="24"/>
        <v>0</v>
      </c>
      <c r="J149" s="505">
        <f t="shared" si="20"/>
        <v>0</v>
      </c>
      <c r="K149" s="505"/>
      <c r="L149" s="513"/>
      <c r="M149" s="505">
        <f t="shared" si="27"/>
        <v>0</v>
      </c>
      <c r="N149" s="513"/>
      <c r="O149" s="505">
        <f t="shared" si="28"/>
        <v>0</v>
      </c>
      <c r="P149" s="505">
        <f t="shared" si="29"/>
        <v>0</v>
      </c>
      <c r="Q149" s="244"/>
      <c r="R149" s="244"/>
      <c r="S149" s="244"/>
      <c r="T149" s="244"/>
      <c r="U149" s="244"/>
    </row>
    <row r="150" spans="3:21" ht="12.5">
      <c r="C150" s="496">
        <f>IF(D94="","-",+C149+1)</f>
        <v>2064</v>
      </c>
      <c r="D150" s="350">
        <f>IF(F149+SUM(E$100:E149)=D$93,F149,D$93-SUM(E$100:E149))</f>
        <v>0</v>
      </c>
      <c r="E150" s="510">
        <f t="shared" si="21"/>
        <v>0</v>
      </c>
      <c r="F150" s="511">
        <f t="shared" si="22"/>
        <v>0</v>
      </c>
      <c r="G150" s="511">
        <f t="shared" si="23"/>
        <v>0</v>
      </c>
      <c r="H150" s="646">
        <f t="shared" si="26"/>
        <v>0</v>
      </c>
      <c r="I150" s="573">
        <f t="shared" si="24"/>
        <v>0</v>
      </c>
      <c r="J150" s="505">
        <f t="shared" si="20"/>
        <v>0</v>
      </c>
      <c r="K150" s="505"/>
      <c r="L150" s="513"/>
      <c r="M150" s="505">
        <f t="shared" si="27"/>
        <v>0</v>
      </c>
      <c r="N150" s="513"/>
      <c r="O150" s="505">
        <f t="shared" si="28"/>
        <v>0</v>
      </c>
      <c r="P150" s="505">
        <f t="shared" si="29"/>
        <v>0</v>
      </c>
      <c r="Q150" s="244"/>
      <c r="R150" s="244"/>
      <c r="S150" s="244"/>
      <c r="T150" s="244"/>
      <c r="U150" s="244"/>
    </row>
    <row r="151" spans="3:21" ht="12.5">
      <c r="C151" s="496">
        <f>IF(D94="","-",+C150+1)</f>
        <v>2065</v>
      </c>
      <c r="D151" s="350">
        <f>IF(F150+SUM(E$100:E150)=D$93,F150,D$93-SUM(E$100:E150))</f>
        <v>0</v>
      </c>
      <c r="E151" s="510">
        <f t="shared" si="21"/>
        <v>0</v>
      </c>
      <c r="F151" s="511">
        <f t="shared" si="22"/>
        <v>0</v>
      </c>
      <c r="G151" s="511">
        <f t="shared" si="23"/>
        <v>0</v>
      </c>
      <c r="H151" s="646">
        <f t="shared" si="26"/>
        <v>0</v>
      </c>
      <c r="I151" s="573">
        <f t="shared" si="24"/>
        <v>0</v>
      </c>
      <c r="J151" s="505">
        <f t="shared" si="20"/>
        <v>0</v>
      </c>
      <c r="K151" s="505"/>
      <c r="L151" s="513"/>
      <c r="M151" s="505">
        <f t="shared" si="27"/>
        <v>0</v>
      </c>
      <c r="N151" s="513"/>
      <c r="O151" s="505">
        <f t="shared" si="28"/>
        <v>0</v>
      </c>
      <c r="P151" s="505">
        <f t="shared" si="29"/>
        <v>0</v>
      </c>
      <c r="Q151" s="244"/>
      <c r="R151" s="244"/>
      <c r="S151" s="244"/>
      <c r="T151" s="244"/>
      <c r="U151" s="244"/>
    </row>
    <row r="152" spans="3:21" ht="12.5">
      <c r="C152" s="496">
        <f>IF(D94="","-",+C151+1)</f>
        <v>2066</v>
      </c>
      <c r="D152" s="350">
        <f>IF(F151+SUM(E$100:E151)=D$93,F151,D$93-SUM(E$100:E151))</f>
        <v>0</v>
      </c>
      <c r="E152" s="510">
        <f t="shared" si="21"/>
        <v>0</v>
      </c>
      <c r="F152" s="511">
        <f t="shared" si="22"/>
        <v>0</v>
      </c>
      <c r="G152" s="511">
        <f t="shared" si="23"/>
        <v>0</v>
      </c>
      <c r="H152" s="646">
        <f t="shared" si="26"/>
        <v>0</v>
      </c>
      <c r="I152" s="573">
        <f t="shared" si="24"/>
        <v>0</v>
      </c>
      <c r="J152" s="505">
        <f t="shared" si="20"/>
        <v>0</v>
      </c>
      <c r="K152" s="505"/>
      <c r="L152" s="513"/>
      <c r="M152" s="505">
        <f t="shared" si="27"/>
        <v>0</v>
      </c>
      <c r="N152" s="513"/>
      <c r="O152" s="505">
        <f t="shared" si="28"/>
        <v>0</v>
      </c>
      <c r="P152" s="505">
        <f t="shared" si="29"/>
        <v>0</v>
      </c>
      <c r="Q152" s="244"/>
      <c r="R152" s="244"/>
      <c r="S152" s="244"/>
      <c r="T152" s="244"/>
      <c r="U152" s="244"/>
    </row>
    <row r="153" spans="3:21" ht="12.5">
      <c r="C153" s="496">
        <f>IF(D94="","-",+C152+1)</f>
        <v>2067</v>
      </c>
      <c r="D153" s="350">
        <f>IF(F152+SUM(E$100:E152)=D$93,F152,D$93-SUM(E$100:E152))</f>
        <v>0</v>
      </c>
      <c r="E153" s="510">
        <f t="shared" si="21"/>
        <v>0</v>
      </c>
      <c r="F153" s="511">
        <f t="shared" si="22"/>
        <v>0</v>
      </c>
      <c r="G153" s="511">
        <f t="shared" si="23"/>
        <v>0</v>
      </c>
      <c r="H153" s="646">
        <f t="shared" si="26"/>
        <v>0</v>
      </c>
      <c r="I153" s="573">
        <f t="shared" si="24"/>
        <v>0</v>
      </c>
      <c r="J153" s="505">
        <f t="shared" si="20"/>
        <v>0</v>
      </c>
      <c r="K153" s="505"/>
      <c r="L153" s="513"/>
      <c r="M153" s="505">
        <f t="shared" si="27"/>
        <v>0</v>
      </c>
      <c r="N153" s="513"/>
      <c r="O153" s="505">
        <f t="shared" si="28"/>
        <v>0</v>
      </c>
      <c r="P153" s="505">
        <f t="shared" si="29"/>
        <v>0</v>
      </c>
      <c r="Q153" s="244"/>
      <c r="R153" s="244"/>
      <c r="S153" s="244"/>
      <c r="T153" s="244"/>
      <c r="U153" s="244"/>
    </row>
    <row r="154" spans="3:21" ht="12.5">
      <c r="C154" s="496">
        <f>IF(D94="","-",+C153+1)</f>
        <v>2068</v>
      </c>
      <c r="D154" s="350">
        <f>IF(F153+SUM(E$100:E153)=D$93,F153,D$93-SUM(E$100:E153))</f>
        <v>0</v>
      </c>
      <c r="E154" s="510">
        <f t="shared" si="21"/>
        <v>0</v>
      </c>
      <c r="F154" s="511">
        <f t="shared" si="22"/>
        <v>0</v>
      </c>
      <c r="G154" s="511">
        <f t="shared" si="23"/>
        <v>0</v>
      </c>
      <c r="H154" s="646">
        <f t="shared" si="26"/>
        <v>0</v>
      </c>
      <c r="I154" s="573">
        <f t="shared" si="24"/>
        <v>0</v>
      </c>
      <c r="J154" s="505">
        <f t="shared" si="20"/>
        <v>0</v>
      </c>
      <c r="K154" s="505"/>
      <c r="L154" s="513"/>
      <c r="M154" s="505">
        <f t="shared" si="27"/>
        <v>0</v>
      </c>
      <c r="N154" s="513"/>
      <c r="O154" s="505">
        <f t="shared" si="28"/>
        <v>0</v>
      </c>
      <c r="P154" s="505">
        <f t="shared" si="29"/>
        <v>0</v>
      </c>
      <c r="Q154" s="244"/>
      <c r="R154" s="244"/>
      <c r="S154" s="244"/>
      <c r="T154" s="244"/>
      <c r="U154" s="244"/>
    </row>
    <row r="155" spans="3:21" ht="13" thickBot="1">
      <c r="C155" s="525">
        <f>IF(D94="","-",+C154+1)</f>
        <v>2069</v>
      </c>
      <c r="D155" s="619">
        <f>IF(F154+SUM(E$100:E154)=D$93,F154,D$93-SUM(E$100:E154))</f>
        <v>0</v>
      </c>
      <c r="E155" s="527">
        <f t="shared" si="21"/>
        <v>0</v>
      </c>
      <c r="F155" s="528">
        <f t="shared" si="22"/>
        <v>0</v>
      </c>
      <c r="G155" s="528">
        <f t="shared" si="23"/>
        <v>0</v>
      </c>
      <c r="H155" s="646">
        <f t="shared" si="26"/>
        <v>0</v>
      </c>
      <c r="I155" s="574">
        <f t="shared" si="24"/>
        <v>0</v>
      </c>
      <c r="J155" s="532">
        <f t="shared" si="20"/>
        <v>0</v>
      </c>
      <c r="K155" s="505"/>
      <c r="L155" s="531"/>
      <c r="M155" s="532">
        <f t="shared" si="27"/>
        <v>0</v>
      </c>
      <c r="N155" s="531"/>
      <c r="O155" s="532">
        <f t="shared" si="28"/>
        <v>0</v>
      </c>
      <c r="P155" s="532">
        <f t="shared" si="29"/>
        <v>0</v>
      </c>
      <c r="Q155" s="244"/>
      <c r="R155" s="244"/>
      <c r="S155" s="244"/>
      <c r="T155" s="244"/>
      <c r="U155" s="244"/>
    </row>
    <row r="156" spans="3:21" ht="12.5">
      <c r="C156" s="350" t="s">
        <v>75</v>
      </c>
      <c r="D156" s="295"/>
      <c r="E156" s="295">
        <f>SUM(E100:E155)</f>
        <v>1864625.0099999998</v>
      </c>
      <c r="F156" s="295"/>
      <c r="G156" s="295"/>
      <c r="H156" s="295">
        <f>SUM(H100:H155)</f>
        <v>5025959.2282038936</v>
      </c>
      <c r="I156" s="295">
        <f>SUM(I100:I155)</f>
        <v>5025959.2282038936</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6" priority="1" stopIfTrue="1" operator="equal">
      <formula>$I$10</formula>
    </cfRule>
  </conditionalFormatting>
  <conditionalFormatting sqref="C100:C155">
    <cfRule type="cellIs" dxfId="3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9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1044606.9924692181</v>
      </c>
      <c r="P5" s="244"/>
      <c r="R5" s="244"/>
      <c r="S5" s="244"/>
      <c r="T5" s="244"/>
      <c r="U5" s="244"/>
    </row>
    <row r="6" spans="1:21" ht="15.5">
      <c r="C6" s="236"/>
      <c r="D6" s="293"/>
      <c r="E6" s="244"/>
      <c r="F6" s="244"/>
      <c r="G6" s="244"/>
      <c r="H6" s="450"/>
      <c r="I6" s="450"/>
      <c r="J6" s="451"/>
      <c r="K6" s="452" t="s">
        <v>243</v>
      </c>
      <c r="L6" s="453"/>
      <c r="M6" s="279"/>
      <c r="N6" s="454">
        <f>VLOOKUP(I10,C17:I73,6)</f>
        <v>1044606.9924692181</v>
      </c>
      <c r="O6" s="244"/>
      <c r="P6" s="244"/>
      <c r="R6" s="244"/>
      <c r="S6" s="244"/>
      <c r="T6" s="244"/>
      <c r="U6" s="244"/>
    </row>
    <row r="7" spans="1:21" ht="13.5" thickBot="1">
      <c r="C7" s="455" t="s">
        <v>46</v>
      </c>
      <c r="D7" s="456" t="s">
        <v>220</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219</v>
      </c>
      <c r="E9" s="466"/>
      <c r="F9" s="466"/>
      <c r="G9" s="466"/>
      <c r="H9" s="466"/>
      <c r="I9" s="467"/>
      <c r="J9" s="468"/>
      <c r="O9" s="469"/>
      <c r="P9" s="279"/>
      <c r="R9" s="244"/>
      <c r="S9" s="244"/>
      <c r="T9" s="244"/>
      <c r="U9" s="244"/>
    </row>
    <row r="10" spans="1:21" ht="13">
      <c r="C10" s="470" t="s">
        <v>49</v>
      </c>
      <c r="D10" s="471">
        <v>8535104</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2015</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251032.4705882353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2015</v>
      </c>
      <c r="D17" s="613">
        <v>7400000</v>
      </c>
      <c r="E17" s="621">
        <v>74674.92363561083</v>
      </c>
      <c r="F17" s="613">
        <v>7325325.0763643896</v>
      </c>
      <c r="G17" s="621">
        <v>578000.14938532724</v>
      </c>
      <c r="H17" s="618">
        <v>578000.14938532724</v>
      </c>
      <c r="I17" s="501">
        <v>0</v>
      </c>
      <c r="J17" s="501"/>
      <c r="K17" s="507">
        <f t="shared" ref="K17:K22" si="1">G17</f>
        <v>578000.14938532724</v>
      </c>
      <c r="L17" s="508">
        <f t="shared" ref="L17:L22" si="2">IF(K17&lt;&gt;0,+G17-K17,0)</f>
        <v>0</v>
      </c>
      <c r="M17" s="507">
        <f t="shared" ref="M17:M22" si="3">H17</f>
        <v>578000.14938532724</v>
      </c>
      <c r="N17" s="505">
        <f>IF(M17&lt;&gt;0,+H17-M17,0)</f>
        <v>0</v>
      </c>
      <c r="O17" s="505">
        <f>+N17-L17</f>
        <v>0</v>
      </c>
      <c r="P17" s="279"/>
      <c r="R17" s="244"/>
      <c r="S17" s="244"/>
      <c r="T17" s="244"/>
      <c r="U17" s="244"/>
    </row>
    <row r="18" spans="2:21" ht="12.5">
      <c r="B18" s="145" t="str">
        <f t="shared" si="0"/>
        <v>IU</v>
      </c>
      <c r="C18" s="496">
        <f>IF(D11="","-",+C17+1)</f>
        <v>2016</v>
      </c>
      <c r="D18" s="618">
        <v>8381815.0763643896</v>
      </c>
      <c r="E18" s="618">
        <v>175721.24624335562</v>
      </c>
      <c r="F18" s="618">
        <v>8206093.8301210338</v>
      </c>
      <c r="G18" s="618">
        <v>1060997.6854975934</v>
      </c>
      <c r="H18" s="618">
        <v>1060997.6854975934</v>
      </c>
      <c r="I18" s="501">
        <f>H18-G18</f>
        <v>0</v>
      </c>
      <c r="J18" s="501"/>
      <c r="K18" s="507">
        <f t="shared" si="1"/>
        <v>1060997.6854975934</v>
      </c>
      <c r="L18" s="508">
        <f t="shared" si="2"/>
        <v>0</v>
      </c>
      <c r="M18" s="507">
        <f t="shared" si="3"/>
        <v>1060997.6854975934</v>
      </c>
      <c r="N18" s="505">
        <f t="shared" ref="N18:N73" si="4">IF(M18&lt;&gt;0,+H18-M18,0)</f>
        <v>0</v>
      </c>
      <c r="O18" s="505">
        <f t="shared" ref="O18:O73" si="5">+N18-L18</f>
        <v>0</v>
      </c>
      <c r="P18" s="279"/>
      <c r="R18" s="244"/>
      <c r="S18" s="244"/>
      <c r="T18" s="244"/>
      <c r="U18" s="244"/>
    </row>
    <row r="19" spans="2:21" ht="12.5">
      <c r="B19" s="145" t="str">
        <f t="shared" si="0"/>
        <v>IU</v>
      </c>
      <c r="C19" s="496">
        <f>IF(D11="","-",+C18+1)</f>
        <v>2017</v>
      </c>
      <c r="D19" s="618">
        <v>8284707.8301210338</v>
      </c>
      <c r="E19" s="618">
        <v>167817.04229981007</v>
      </c>
      <c r="F19" s="618">
        <v>8116890.787821224</v>
      </c>
      <c r="G19" s="618">
        <v>1069412.6916216947</v>
      </c>
      <c r="H19" s="618">
        <v>1069412.6916216947</v>
      </c>
      <c r="I19" s="501">
        <f t="shared" ref="I19:I73" si="6">H19-G19</f>
        <v>0</v>
      </c>
      <c r="J19" s="501"/>
      <c r="K19" s="507">
        <f t="shared" si="1"/>
        <v>1069412.6916216947</v>
      </c>
      <c r="L19" s="508">
        <f t="shared" si="2"/>
        <v>0</v>
      </c>
      <c r="M19" s="507">
        <f t="shared" si="3"/>
        <v>1069412.6916216947</v>
      </c>
      <c r="N19" s="505">
        <f>IF(M19&lt;&gt;0,+H19-M19,0)</f>
        <v>0</v>
      </c>
      <c r="O19" s="505">
        <f>+N19-L19</f>
        <v>0</v>
      </c>
      <c r="P19" s="279"/>
      <c r="R19" s="244"/>
      <c r="S19" s="244"/>
      <c r="T19" s="244"/>
      <c r="U19" s="244"/>
    </row>
    <row r="20" spans="2:21" ht="12.5">
      <c r="B20" s="145" t="str">
        <f t="shared" si="0"/>
        <v/>
      </c>
      <c r="C20" s="496">
        <f>IF(D11="","-",+C19+1)</f>
        <v>2018</v>
      </c>
      <c r="D20" s="618">
        <v>8116890.787821224</v>
      </c>
      <c r="E20" s="618">
        <v>209319.85738284502</v>
      </c>
      <c r="F20" s="618">
        <v>7907570.9304383788</v>
      </c>
      <c r="G20" s="618">
        <v>1150685.0893689205</v>
      </c>
      <c r="H20" s="618">
        <v>1150685.0893689205</v>
      </c>
      <c r="I20" s="501">
        <v>0</v>
      </c>
      <c r="J20" s="501"/>
      <c r="K20" s="507">
        <f t="shared" si="1"/>
        <v>1150685.0893689205</v>
      </c>
      <c r="L20" s="508">
        <f t="shared" si="2"/>
        <v>0</v>
      </c>
      <c r="M20" s="507">
        <f t="shared" si="3"/>
        <v>1150685.0893689205</v>
      </c>
      <c r="N20" s="505">
        <f>IF(M20&lt;&gt;0,+H20-M20,0)</f>
        <v>0</v>
      </c>
      <c r="O20" s="505">
        <f>+N20-L20</f>
        <v>0</v>
      </c>
      <c r="P20" s="279"/>
      <c r="R20" s="244"/>
      <c r="S20" s="244"/>
      <c r="T20" s="244"/>
      <c r="U20" s="244"/>
    </row>
    <row r="21" spans="2:21" ht="12.5">
      <c r="B21" s="145" t="str">
        <f t="shared" si="0"/>
        <v/>
      </c>
      <c r="C21" s="496">
        <f>IF(D11="","-",+C20+1)</f>
        <v>2019</v>
      </c>
      <c r="D21" s="618">
        <v>7907570.9304383788</v>
      </c>
      <c r="E21" s="618">
        <v>209319.85738284502</v>
      </c>
      <c r="F21" s="618">
        <v>7698251.0730555337</v>
      </c>
      <c r="G21" s="618">
        <v>1126091.884359112</v>
      </c>
      <c r="H21" s="618">
        <v>1126091.884359112</v>
      </c>
      <c r="I21" s="501">
        <f t="shared" si="6"/>
        <v>0</v>
      </c>
      <c r="J21" s="501"/>
      <c r="K21" s="507">
        <f t="shared" si="1"/>
        <v>1126091.884359112</v>
      </c>
      <c r="L21" s="508">
        <f t="shared" si="2"/>
        <v>0</v>
      </c>
      <c r="M21" s="507">
        <f t="shared" si="3"/>
        <v>1126091.884359112</v>
      </c>
      <c r="N21" s="505">
        <f>IF(M21&lt;&gt;0,+H21-M21,0)</f>
        <v>0</v>
      </c>
      <c r="O21" s="505">
        <f>+N21-L21</f>
        <v>0</v>
      </c>
      <c r="P21" s="279"/>
      <c r="R21" s="244"/>
      <c r="S21" s="244"/>
      <c r="T21" s="244"/>
      <c r="U21" s="244"/>
    </row>
    <row r="22" spans="2:21" ht="12.5">
      <c r="B22" s="145" t="str">
        <f t="shared" si="0"/>
        <v/>
      </c>
      <c r="C22" s="496">
        <f>IF(D11="","-",+C21+1)</f>
        <v>2020</v>
      </c>
      <c r="D22" s="618">
        <v>7698251.0730555337</v>
      </c>
      <c r="E22" s="618">
        <v>249923.04161572127</v>
      </c>
      <c r="F22" s="618">
        <v>7448328.0314398129</v>
      </c>
      <c r="G22" s="618">
        <v>1044606.9924692181</v>
      </c>
      <c r="H22" s="618">
        <v>1044606.9924692181</v>
      </c>
      <c r="I22" s="501">
        <f t="shared" si="6"/>
        <v>0</v>
      </c>
      <c r="J22" s="501"/>
      <c r="K22" s="507">
        <f t="shared" si="1"/>
        <v>1044606.9924692181</v>
      </c>
      <c r="L22" s="508">
        <f t="shared" si="2"/>
        <v>0</v>
      </c>
      <c r="M22" s="507">
        <f t="shared" si="3"/>
        <v>1044606.9924692181</v>
      </c>
      <c r="N22" s="505">
        <f t="shared" si="4"/>
        <v>0</v>
      </c>
      <c r="O22" s="505">
        <f t="shared" si="5"/>
        <v>0</v>
      </c>
      <c r="P22" s="279"/>
      <c r="R22" s="244"/>
      <c r="S22" s="244"/>
      <c r="T22" s="244"/>
      <c r="U22" s="244"/>
    </row>
    <row r="23" spans="2:21" ht="12.5">
      <c r="B23" s="145" t="str">
        <f t="shared" si="0"/>
        <v/>
      </c>
      <c r="C23" s="496">
        <f>IF(D11="","-",+C22+1)</f>
        <v>2021</v>
      </c>
      <c r="D23" s="509">
        <f>IF(F22+SUM(E$17:E22)=D$10,F22,D$10-SUM(E$17:E22))</f>
        <v>7448328.0314398129</v>
      </c>
      <c r="E23" s="510">
        <f t="shared" ref="E23:E73" si="7">IF(+$I$14&lt;F22,$I$14,D23)</f>
        <v>251032.4705882353</v>
      </c>
      <c r="F23" s="511">
        <f t="shared" ref="F23:F73" si="8">+D23-E23</f>
        <v>7197295.5608515777</v>
      </c>
      <c r="G23" s="512">
        <f t="shared" ref="G23:G73" si="9">(D23+F23)/2*I$12+E23</f>
        <v>1030305.2228340824</v>
      </c>
      <c r="H23" s="478">
        <f t="shared" ref="H23:H73" si="10">+(D23+F23)/2*I$13+E23</f>
        <v>1030305.2228340824</v>
      </c>
      <c r="I23" s="501">
        <f t="shared" si="6"/>
        <v>0</v>
      </c>
      <c r="J23" s="501"/>
      <c r="K23" s="513"/>
      <c r="L23" s="505">
        <f t="shared" ref="L23:L73" si="11">IF(K23&lt;&gt;0,+G23-K23,0)</f>
        <v>0</v>
      </c>
      <c r="M23" s="513"/>
      <c r="N23" s="505">
        <f t="shared" si="4"/>
        <v>0</v>
      </c>
      <c r="O23" s="505">
        <f t="shared" si="5"/>
        <v>0</v>
      </c>
      <c r="P23" s="279"/>
      <c r="R23" s="244"/>
      <c r="S23" s="244"/>
      <c r="T23" s="244"/>
      <c r="U23" s="244"/>
    </row>
    <row r="24" spans="2:21" ht="12.5">
      <c r="B24" s="145" t="str">
        <f t="shared" si="0"/>
        <v/>
      </c>
      <c r="C24" s="496">
        <f>IF(D11="","-",+C23+1)</f>
        <v>2022</v>
      </c>
      <c r="D24" s="509">
        <f>IF(F23+SUM(E$17:E23)=D$10,F23,D$10-SUM(E$17:E23))</f>
        <v>7197295.5608515777</v>
      </c>
      <c r="E24" s="510">
        <f t="shared" si="7"/>
        <v>251032.4705882353</v>
      </c>
      <c r="F24" s="511">
        <f t="shared" si="8"/>
        <v>6946263.0902633425</v>
      </c>
      <c r="G24" s="512">
        <f t="shared" si="9"/>
        <v>1003591.0630681121</v>
      </c>
      <c r="H24" s="478">
        <f t="shared" si="10"/>
        <v>1003591.0630681121</v>
      </c>
      <c r="I24" s="501">
        <f t="shared" si="6"/>
        <v>0</v>
      </c>
      <c r="J24" s="501"/>
      <c r="K24" s="513"/>
      <c r="L24" s="505">
        <f t="shared" si="11"/>
        <v>0</v>
      </c>
      <c r="M24" s="513"/>
      <c r="N24" s="505">
        <f t="shared" si="4"/>
        <v>0</v>
      </c>
      <c r="O24" s="505">
        <f t="shared" si="5"/>
        <v>0</v>
      </c>
      <c r="P24" s="279"/>
      <c r="R24" s="244"/>
      <c r="S24" s="244"/>
      <c r="T24" s="244"/>
      <c r="U24" s="244"/>
    </row>
    <row r="25" spans="2:21" ht="12.5">
      <c r="B25" s="145" t="str">
        <f t="shared" si="0"/>
        <v/>
      </c>
      <c r="C25" s="496">
        <f>IF(D11="","-",+C24+1)</f>
        <v>2023</v>
      </c>
      <c r="D25" s="509">
        <f>IF(F24+SUM(E$17:E24)=D$10,F24,D$10-SUM(E$17:E24))</f>
        <v>6946263.0902633425</v>
      </c>
      <c r="E25" s="510">
        <f t="shared" si="7"/>
        <v>251032.4705882353</v>
      </c>
      <c r="F25" s="511">
        <f t="shared" si="8"/>
        <v>6695230.6196751073</v>
      </c>
      <c r="G25" s="512">
        <f t="shared" si="9"/>
        <v>976876.9033021417</v>
      </c>
      <c r="H25" s="478">
        <f t="shared" si="10"/>
        <v>976876.9033021417</v>
      </c>
      <c r="I25" s="501">
        <f t="shared" si="6"/>
        <v>0</v>
      </c>
      <c r="J25" s="501"/>
      <c r="K25" s="513"/>
      <c r="L25" s="505">
        <f t="shared" si="11"/>
        <v>0</v>
      </c>
      <c r="M25" s="513"/>
      <c r="N25" s="505">
        <f t="shared" si="4"/>
        <v>0</v>
      </c>
      <c r="O25" s="505">
        <f t="shared" si="5"/>
        <v>0</v>
      </c>
      <c r="P25" s="279"/>
      <c r="R25" s="244"/>
      <c r="S25" s="244"/>
      <c r="T25" s="244"/>
      <c r="U25" s="244"/>
    </row>
    <row r="26" spans="2:21" ht="12.5">
      <c r="B26" s="145" t="str">
        <f t="shared" si="0"/>
        <v/>
      </c>
      <c r="C26" s="496">
        <f>IF(D11="","-",+C25+1)</f>
        <v>2024</v>
      </c>
      <c r="D26" s="509">
        <f>IF(F25+SUM(E$17:E25)=D$10,F25,D$10-SUM(E$17:E25))</f>
        <v>6695230.6196751073</v>
      </c>
      <c r="E26" s="510">
        <f t="shared" si="7"/>
        <v>251032.4705882353</v>
      </c>
      <c r="F26" s="511">
        <f t="shared" si="8"/>
        <v>6444198.1490868721</v>
      </c>
      <c r="G26" s="512">
        <f t="shared" si="9"/>
        <v>950162.74353617127</v>
      </c>
      <c r="H26" s="478">
        <f t="shared" si="10"/>
        <v>950162.74353617127</v>
      </c>
      <c r="I26" s="501">
        <f t="shared" si="6"/>
        <v>0</v>
      </c>
      <c r="J26" s="501"/>
      <c r="K26" s="513"/>
      <c r="L26" s="505">
        <f t="shared" si="11"/>
        <v>0</v>
      </c>
      <c r="M26" s="513"/>
      <c r="N26" s="505">
        <f t="shared" si="4"/>
        <v>0</v>
      </c>
      <c r="O26" s="505">
        <f t="shared" si="5"/>
        <v>0</v>
      </c>
      <c r="P26" s="279"/>
      <c r="R26" s="244"/>
      <c r="S26" s="244"/>
      <c r="T26" s="244"/>
      <c r="U26" s="244"/>
    </row>
    <row r="27" spans="2:21" ht="12.5">
      <c r="B27" s="145" t="str">
        <f t="shared" si="0"/>
        <v/>
      </c>
      <c r="C27" s="496">
        <f>IF(D11="","-",+C26+1)</f>
        <v>2025</v>
      </c>
      <c r="D27" s="509">
        <f>IF(F26+SUM(E$17:E26)=D$10,F26,D$10-SUM(E$17:E26))</f>
        <v>6444198.1490868721</v>
      </c>
      <c r="E27" s="510">
        <f t="shared" si="7"/>
        <v>251032.4705882353</v>
      </c>
      <c r="F27" s="511">
        <f t="shared" si="8"/>
        <v>6193165.6784986369</v>
      </c>
      <c r="G27" s="512">
        <f t="shared" si="9"/>
        <v>923448.58377020084</v>
      </c>
      <c r="H27" s="478">
        <f t="shared" si="10"/>
        <v>923448.58377020084</v>
      </c>
      <c r="I27" s="501">
        <f t="shared" si="6"/>
        <v>0</v>
      </c>
      <c r="J27" s="501"/>
      <c r="K27" s="513"/>
      <c r="L27" s="505">
        <f t="shared" si="11"/>
        <v>0</v>
      </c>
      <c r="M27" s="513"/>
      <c r="N27" s="505">
        <f t="shared" si="4"/>
        <v>0</v>
      </c>
      <c r="O27" s="505">
        <f t="shared" si="5"/>
        <v>0</v>
      </c>
      <c r="P27" s="279"/>
      <c r="R27" s="244"/>
      <c r="S27" s="244"/>
      <c r="T27" s="244"/>
      <c r="U27" s="244"/>
    </row>
    <row r="28" spans="2:21" ht="12.5">
      <c r="B28" s="145" t="str">
        <f t="shared" si="0"/>
        <v/>
      </c>
      <c r="C28" s="496">
        <f>IF(D11="","-",+C27+1)</f>
        <v>2026</v>
      </c>
      <c r="D28" s="509">
        <f>IF(F27+SUM(E$17:E27)=D$10,F27,D$10-SUM(E$17:E27))</f>
        <v>6193165.6784986369</v>
      </c>
      <c r="E28" s="510">
        <f t="shared" si="7"/>
        <v>251032.4705882353</v>
      </c>
      <c r="F28" s="511">
        <f t="shared" si="8"/>
        <v>5942133.2079104017</v>
      </c>
      <c r="G28" s="512">
        <f t="shared" si="9"/>
        <v>896734.42400423053</v>
      </c>
      <c r="H28" s="478">
        <f t="shared" si="10"/>
        <v>896734.42400423053</v>
      </c>
      <c r="I28" s="501">
        <f t="shared" si="6"/>
        <v>0</v>
      </c>
      <c r="J28" s="501"/>
      <c r="K28" s="513"/>
      <c r="L28" s="505">
        <f t="shared" si="11"/>
        <v>0</v>
      </c>
      <c r="M28" s="513"/>
      <c r="N28" s="505">
        <f t="shared" si="4"/>
        <v>0</v>
      </c>
      <c r="O28" s="505">
        <f t="shared" si="5"/>
        <v>0</v>
      </c>
      <c r="P28" s="279"/>
      <c r="R28" s="244"/>
      <c r="S28" s="244"/>
      <c r="T28" s="244"/>
      <c r="U28" s="244"/>
    </row>
    <row r="29" spans="2:21" ht="12.5">
      <c r="B29" s="145" t="str">
        <f t="shared" si="0"/>
        <v/>
      </c>
      <c r="C29" s="496">
        <f>IF(D11="","-",+C28+1)</f>
        <v>2027</v>
      </c>
      <c r="D29" s="509">
        <f>IF(F28+SUM(E$17:E28)=D$10,F28,D$10-SUM(E$17:E28))</f>
        <v>5942133.2079104017</v>
      </c>
      <c r="E29" s="510">
        <f t="shared" si="7"/>
        <v>251032.4705882353</v>
      </c>
      <c r="F29" s="511">
        <f t="shared" si="8"/>
        <v>5691100.7373221666</v>
      </c>
      <c r="G29" s="512">
        <f t="shared" si="9"/>
        <v>870020.2642382601</v>
      </c>
      <c r="H29" s="478">
        <f t="shared" si="10"/>
        <v>870020.2642382601</v>
      </c>
      <c r="I29" s="501">
        <f t="shared" si="6"/>
        <v>0</v>
      </c>
      <c r="J29" s="501"/>
      <c r="K29" s="513"/>
      <c r="L29" s="505">
        <f t="shared" si="11"/>
        <v>0</v>
      </c>
      <c r="M29" s="513"/>
      <c r="N29" s="505">
        <f t="shared" si="4"/>
        <v>0</v>
      </c>
      <c r="O29" s="505">
        <f t="shared" si="5"/>
        <v>0</v>
      </c>
      <c r="P29" s="279"/>
      <c r="R29" s="244"/>
      <c r="S29" s="244"/>
      <c r="T29" s="244"/>
      <c r="U29" s="244"/>
    </row>
    <row r="30" spans="2:21" ht="12.5">
      <c r="B30" s="145" t="str">
        <f t="shared" si="0"/>
        <v/>
      </c>
      <c r="C30" s="496">
        <f>IF(D11="","-",+C29+1)</f>
        <v>2028</v>
      </c>
      <c r="D30" s="509">
        <f>IF(F29+SUM(E$17:E29)=D$10,F29,D$10-SUM(E$17:E29))</f>
        <v>5691100.7373221666</v>
      </c>
      <c r="E30" s="510">
        <f t="shared" si="7"/>
        <v>251032.4705882353</v>
      </c>
      <c r="F30" s="511">
        <f t="shared" si="8"/>
        <v>5440068.2667339314</v>
      </c>
      <c r="G30" s="512">
        <f t="shared" si="9"/>
        <v>843306.10447228968</v>
      </c>
      <c r="H30" s="478">
        <f t="shared" si="10"/>
        <v>843306.10447228968</v>
      </c>
      <c r="I30" s="501">
        <f t="shared" si="6"/>
        <v>0</v>
      </c>
      <c r="J30" s="501"/>
      <c r="K30" s="513"/>
      <c r="L30" s="505">
        <f t="shared" si="11"/>
        <v>0</v>
      </c>
      <c r="M30" s="513"/>
      <c r="N30" s="505">
        <f t="shared" si="4"/>
        <v>0</v>
      </c>
      <c r="O30" s="505">
        <f t="shared" si="5"/>
        <v>0</v>
      </c>
      <c r="P30" s="279"/>
      <c r="R30" s="244"/>
      <c r="S30" s="244"/>
      <c r="T30" s="244"/>
      <c r="U30" s="244"/>
    </row>
    <row r="31" spans="2:21" ht="12.5">
      <c r="B31" s="145" t="str">
        <f>IF(D31=F30,"","IU")</f>
        <v/>
      </c>
      <c r="C31" s="496">
        <f>IF(D11="","-",+C30+1)</f>
        <v>2029</v>
      </c>
      <c r="D31" s="509">
        <f>IF(F30+SUM(E$17:E30)=D$10,F30,D$10-SUM(E$17:E30))</f>
        <v>5440068.2667339314</v>
      </c>
      <c r="E31" s="510">
        <f t="shared" si="7"/>
        <v>251032.4705882353</v>
      </c>
      <c r="F31" s="511">
        <f t="shared" si="8"/>
        <v>5189035.7961456962</v>
      </c>
      <c r="G31" s="512">
        <f t="shared" si="9"/>
        <v>816591.94470631937</v>
      </c>
      <c r="H31" s="478">
        <f t="shared" si="10"/>
        <v>816591.94470631937</v>
      </c>
      <c r="I31" s="501">
        <f t="shared" si="6"/>
        <v>0</v>
      </c>
      <c r="J31" s="501"/>
      <c r="K31" s="513"/>
      <c r="L31" s="505">
        <f t="shared" si="11"/>
        <v>0</v>
      </c>
      <c r="M31" s="513"/>
      <c r="N31" s="505">
        <f t="shared" si="4"/>
        <v>0</v>
      </c>
      <c r="O31" s="505">
        <f t="shared" si="5"/>
        <v>0</v>
      </c>
      <c r="P31" s="279"/>
      <c r="Q31" s="221"/>
      <c r="R31" s="279"/>
      <c r="S31" s="279"/>
      <c r="T31" s="279"/>
      <c r="U31" s="244"/>
    </row>
    <row r="32" spans="2:21" ht="12.5">
      <c r="B32" s="145" t="str">
        <f t="shared" ref="B32:B46" si="12">IF(D32=F31,"","IU")</f>
        <v/>
      </c>
      <c r="C32" s="496">
        <f>IF(D12="","-",+C31+1)</f>
        <v>2030</v>
      </c>
      <c r="D32" s="509">
        <f>IF(F31+SUM(E$17:E31)=D$10,F31,D$10-SUM(E$17:E31))</f>
        <v>5189035.7961456962</v>
      </c>
      <c r="E32" s="510">
        <f>IF(+$I$14&lt;F31,$I$14,D32)</f>
        <v>251032.4705882353</v>
      </c>
      <c r="F32" s="511">
        <f>+D32-E32</f>
        <v>4938003.325557461</v>
      </c>
      <c r="G32" s="512">
        <f t="shared" si="9"/>
        <v>789877.78494034894</v>
      </c>
      <c r="H32" s="478">
        <f t="shared" si="10"/>
        <v>789877.78494034894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12"/>
        <v/>
      </c>
      <c r="C33" s="496">
        <f>IF(D13="","-",+C32+1)</f>
        <v>2031</v>
      </c>
      <c r="D33" s="509">
        <f>IF(F32+SUM(E$17:E32)=D$10,F32,D$10-SUM(E$17:E32))</f>
        <v>4938003.325557461</v>
      </c>
      <c r="E33" s="510">
        <f>IF(+$I$14&lt;F32,$I$14,D33)</f>
        <v>251032.4705882353</v>
      </c>
      <c r="F33" s="511">
        <f>+D33-E33</f>
        <v>4686970.8549692258</v>
      </c>
      <c r="G33" s="512">
        <f t="shared" si="9"/>
        <v>763163.62517437851</v>
      </c>
      <c r="H33" s="478">
        <f t="shared" si="10"/>
        <v>763163.62517437851</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12"/>
        <v/>
      </c>
      <c r="C34" s="496">
        <f t="shared" ref="C34:C42" si="13">IF(D14="","-",+C33+1)</f>
        <v>2032</v>
      </c>
      <c r="D34" s="515">
        <f>IF(F33+SUM(E$17:E33)=D$10,F33,D$10-SUM(E$17:E33))</f>
        <v>4686970.8549692258</v>
      </c>
      <c r="E34" s="516">
        <f t="shared" si="7"/>
        <v>251032.4705882353</v>
      </c>
      <c r="F34" s="517">
        <f t="shared" si="8"/>
        <v>4435938.3843809906</v>
      </c>
      <c r="G34" s="512">
        <f t="shared" si="9"/>
        <v>736449.46540840808</v>
      </c>
      <c r="H34" s="478">
        <f t="shared" si="10"/>
        <v>736449.46540840808</v>
      </c>
      <c r="I34" s="520">
        <f t="shared" si="6"/>
        <v>0</v>
      </c>
      <c r="J34" s="520"/>
      <c r="K34" s="521"/>
      <c r="L34" s="522">
        <f t="shared" si="11"/>
        <v>0</v>
      </c>
      <c r="M34" s="521"/>
      <c r="N34" s="522">
        <f t="shared" si="4"/>
        <v>0</v>
      </c>
      <c r="O34" s="522">
        <f t="shared" si="5"/>
        <v>0</v>
      </c>
      <c r="P34" s="523"/>
      <c r="Q34" s="217"/>
      <c r="R34" s="523"/>
      <c r="S34" s="523"/>
      <c r="T34" s="523"/>
      <c r="U34" s="244"/>
    </row>
    <row r="35" spans="2:21" ht="12.5">
      <c r="B35" s="145" t="str">
        <f t="shared" si="12"/>
        <v/>
      </c>
      <c r="C35" s="496">
        <f t="shared" si="13"/>
        <v>2033</v>
      </c>
      <c r="D35" s="509">
        <f>IF(F34+SUM(E$17:E34)=D$10,F34,D$10-SUM(E$17:E34))</f>
        <v>4435938.3843809906</v>
      </c>
      <c r="E35" s="510">
        <f t="shared" si="7"/>
        <v>251032.4705882353</v>
      </c>
      <c r="F35" s="511">
        <f t="shared" si="8"/>
        <v>4184905.9137927555</v>
      </c>
      <c r="G35" s="512">
        <f t="shared" si="9"/>
        <v>709735.30564243777</v>
      </c>
      <c r="H35" s="478">
        <f t="shared" si="10"/>
        <v>709735.30564243777</v>
      </c>
      <c r="I35" s="501">
        <f t="shared" si="6"/>
        <v>0</v>
      </c>
      <c r="J35" s="501"/>
      <c r="K35" s="513"/>
      <c r="L35" s="505">
        <f t="shared" si="11"/>
        <v>0</v>
      </c>
      <c r="M35" s="513"/>
      <c r="N35" s="505">
        <f t="shared" si="4"/>
        <v>0</v>
      </c>
      <c r="O35" s="505">
        <f t="shared" si="5"/>
        <v>0</v>
      </c>
      <c r="P35" s="279"/>
      <c r="R35" s="244"/>
      <c r="S35" s="244"/>
      <c r="T35" s="244"/>
      <c r="U35" s="244"/>
    </row>
    <row r="36" spans="2:21" ht="12.5">
      <c r="B36" s="145" t="str">
        <f t="shared" si="12"/>
        <v/>
      </c>
      <c r="C36" s="496">
        <f t="shared" si="13"/>
        <v>2034</v>
      </c>
      <c r="D36" s="509">
        <f>IF(F35+SUM(E$17:E35)=D$10,F35,D$10-SUM(E$17:E35))</f>
        <v>4184905.9137927555</v>
      </c>
      <c r="E36" s="510">
        <f t="shared" si="7"/>
        <v>251032.4705882353</v>
      </c>
      <c r="F36" s="511">
        <f t="shared" si="8"/>
        <v>3933873.4432045203</v>
      </c>
      <c r="G36" s="512">
        <f t="shared" si="9"/>
        <v>683021.14587646734</v>
      </c>
      <c r="H36" s="478">
        <f t="shared" si="10"/>
        <v>683021.14587646734</v>
      </c>
      <c r="I36" s="501">
        <f t="shared" si="6"/>
        <v>0</v>
      </c>
      <c r="J36" s="501"/>
      <c r="K36" s="513"/>
      <c r="L36" s="505">
        <f t="shared" si="11"/>
        <v>0</v>
      </c>
      <c r="M36" s="513"/>
      <c r="N36" s="505">
        <f t="shared" si="4"/>
        <v>0</v>
      </c>
      <c r="O36" s="505">
        <f t="shared" si="5"/>
        <v>0</v>
      </c>
      <c r="P36" s="279"/>
      <c r="R36" s="244"/>
      <c r="S36" s="244"/>
      <c r="T36" s="244"/>
      <c r="U36" s="244"/>
    </row>
    <row r="37" spans="2:21" ht="12.5">
      <c r="B37" s="145" t="str">
        <f t="shared" si="12"/>
        <v/>
      </c>
      <c r="C37" s="496">
        <f t="shared" si="13"/>
        <v>2035</v>
      </c>
      <c r="D37" s="509">
        <f>IF(F36+SUM(E$17:E36)=D$10,F36,D$10-SUM(E$17:E36))</f>
        <v>3933873.4432045203</v>
      </c>
      <c r="E37" s="510">
        <f t="shared" si="7"/>
        <v>251032.4705882353</v>
      </c>
      <c r="F37" s="511">
        <f t="shared" si="8"/>
        <v>3682840.9726162851</v>
      </c>
      <c r="G37" s="512">
        <f t="shared" si="9"/>
        <v>656306.98611049703</v>
      </c>
      <c r="H37" s="478">
        <f t="shared" si="10"/>
        <v>656306.98611049703</v>
      </c>
      <c r="I37" s="501">
        <f t="shared" si="6"/>
        <v>0</v>
      </c>
      <c r="J37" s="501"/>
      <c r="K37" s="513"/>
      <c r="L37" s="505">
        <f t="shared" si="11"/>
        <v>0</v>
      </c>
      <c r="M37" s="513"/>
      <c r="N37" s="505">
        <f t="shared" si="4"/>
        <v>0</v>
      </c>
      <c r="O37" s="505">
        <f t="shared" si="5"/>
        <v>0</v>
      </c>
      <c r="P37" s="279"/>
      <c r="R37" s="244"/>
      <c r="S37" s="244"/>
      <c r="T37" s="244"/>
      <c r="U37" s="244"/>
    </row>
    <row r="38" spans="2:21" ht="12.5">
      <c r="B38" s="145" t="str">
        <f t="shared" si="12"/>
        <v/>
      </c>
      <c r="C38" s="496">
        <f t="shared" si="13"/>
        <v>2036</v>
      </c>
      <c r="D38" s="509">
        <f>IF(F37+SUM(E$17:E37)=D$10,F37,D$10-SUM(E$17:E37))</f>
        <v>3682840.9726162851</v>
      </c>
      <c r="E38" s="510">
        <f t="shared" si="7"/>
        <v>251032.4705882353</v>
      </c>
      <c r="F38" s="511">
        <f t="shared" si="8"/>
        <v>3431808.5020280499</v>
      </c>
      <c r="G38" s="512">
        <f t="shared" si="9"/>
        <v>629592.82634452661</v>
      </c>
      <c r="H38" s="478">
        <f t="shared" si="10"/>
        <v>629592.82634452661</v>
      </c>
      <c r="I38" s="501">
        <f t="shared" si="6"/>
        <v>0</v>
      </c>
      <c r="J38" s="501"/>
      <c r="K38" s="513"/>
      <c r="L38" s="505">
        <f t="shared" si="11"/>
        <v>0</v>
      </c>
      <c r="M38" s="513"/>
      <c r="N38" s="505">
        <f t="shared" si="4"/>
        <v>0</v>
      </c>
      <c r="O38" s="505">
        <f t="shared" si="5"/>
        <v>0</v>
      </c>
      <c r="P38" s="279"/>
      <c r="R38" s="244"/>
      <c r="S38" s="244"/>
      <c r="T38" s="244"/>
      <c r="U38" s="244"/>
    </row>
    <row r="39" spans="2:21" ht="12.5">
      <c r="B39" s="145" t="str">
        <f t="shared" si="12"/>
        <v/>
      </c>
      <c r="C39" s="496">
        <f t="shared" si="13"/>
        <v>2037</v>
      </c>
      <c r="D39" s="509">
        <f>IF(F38+SUM(E$17:E38)=D$10,F38,D$10-SUM(E$17:E38))</f>
        <v>3431808.5020280499</v>
      </c>
      <c r="E39" s="510">
        <f t="shared" si="7"/>
        <v>251032.4705882353</v>
      </c>
      <c r="F39" s="511">
        <f t="shared" si="8"/>
        <v>3180776.0314398147</v>
      </c>
      <c r="G39" s="512">
        <f t="shared" si="9"/>
        <v>602878.66657855618</v>
      </c>
      <c r="H39" s="478">
        <f t="shared" si="10"/>
        <v>602878.66657855618</v>
      </c>
      <c r="I39" s="501">
        <f t="shared" si="6"/>
        <v>0</v>
      </c>
      <c r="J39" s="501"/>
      <c r="K39" s="513"/>
      <c r="L39" s="505">
        <f t="shared" si="11"/>
        <v>0</v>
      </c>
      <c r="M39" s="513"/>
      <c r="N39" s="505">
        <f t="shared" si="4"/>
        <v>0</v>
      </c>
      <c r="O39" s="505">
        <f t="shared" si="5"/>
        <v>0</v>
      </c>
      <c r="P39" s="279"/>
      <c r="R39" s="244"/>
      <c r="S39" s="244"/>
      <c r="T39" s="244"/>
      <c r="U39" s="244"/>
    </row>
    <row r="40" spans="2:21" ht="12.5">
      <c r="B40" s="145" t="str">
        <f t="shared" si="12"/>
        <v/>
      </c>
      <c r="C40" s="496">
        <f t="shared" si="13"/>
        <v>2038</v>
      </c>
      <c r="D40" s="509">
        <f>IF(F39+SUM(E$17:E39)=D$10,F39,D$10-SUM(E$17:E39))</f>
        <v>3180776.0314398147</v>
      </c>
      <c r="E40" s="510">
        <f t="shared" si="7"/>
        <v>251032.4705882353</v>
      </c>
      <c r="F40" s="511">
        <f t="shared" si="8"/>
        <v>2929743.5608515795</v>
      </c>
      <c r="G40" s="512">
        <f t="shared" si="9"/>
        <v>576164.50681258575</v>
      </c>
      <c r="H40" s="478">
        <f t="shared" si="10"/>
        <v>576164.50681258575</v>
      </c>
      <c r="I40" s="501">
        <f t="shared" si="6"/>
        <v>0</v>
      </c>
      <c r="J40" s="501"/>
      <c r="K40" s="513"/>
      <c r="L40" s="505">
        <f t="shared" si="11"/>
        <v>0</v>
      </c>
      <c r="M40" s="513"/>
      <c r="N40" s="505">
        <f t="shared" si="4"/>
        <v>0</v>
      </c>
      <c r="O40" s="505">
        <f t="shared" si="5"/>
        <v>0</v>
      </c>
      <c r="P40" s="279"/>
      <c r="R40" s="244"/>
      <c r="S40" s="244"/>
      <c r="T40" s="244"/>
      <c r="U40" s="244"/>
    </row>
    <row r="41" spans="2:21" ht="12.5">
      <c r="B41" s="145" t="str">
        <f t="shared" si="12"/>
        <v/>
      </c>
      <c r="C41" s="496">
        <f t="shared" si="13"/>
        <v>2039</v>
      </c>
      <c r="D41" s="509">
        <f>IF(F40+SUM(E$17:E40)=D$10,F40,D$10-SUM(E$17:E40))</f>
        <v>2929743.5608515795</v>
      </c>
      <c r="E41" s="510">
        <f t="shared" si="7"/>
        <v>251032.4705882353</v>
      </c>
      <c r="F41" s="511">
        <f t="shared" si="8"/>
        <v>2678711.0902633443</v>
      </c>
      <c r="G41" s="512">
        <f t="shared" si="9"/>
        <v>549450.34704661532</v>
      </c>
      <c r="H41" s="478">
        <f t="shared" si="10"/>
        <v>549450.34704661532</v>
      </c>
      <c r="I41" s="501">
        <f t="shared" si="6"/>
        <v>0</v>
      </c>
      <c r="J41" s="501"/>
      <c r="K41" s="513"/>
      <c r="L41" s="505">
        <f t="shared" si="11"/>
        <v>0</v>
      </c>
      <c r="M41" s="513"/>
      <c r="N41" s="505">
        <f t="shared" si="4"/>
        <v>0</v>
      </c>
      <c r="O41" s="505">
        <f t="shared" si="5"/>
        <v>0</v>
      </c>
      <c r="P41" s="279"/>
      <c r="R41" s="244"/>
      <c r="S41" s="244"/>
      <c r="T41" s="244"/>
      <c r="U41" s="244"/>
    </row>
    <row r="42" spans="2:21" ht="12.5">
      <c r="B42" s="145" t="str">
        <f t="shared" si="12"/>
        <v/>
      </c>
      <c r="C42" s="496">
        <f t="shared" si="13"/>
        <v>2040</v>
      </c>
      <c r="D42" s="509">
        <f>IF(F41+SUM(E$17:E41)=D$10,F41,D$10-SUM(E$17:E41))</f>
        <v>2678711.0902633443</v>
      </c>
      <c r="E42" s="510">
        <f t="shared" si="7"/>
        <v>251032.4705882353</v>
      </c>
      <c r="F42" s="511">
        <f t="shared" si="8"/>
        <v>2427678.6196751092</v>
      </c>
      <c r="G42" s="512">
        <f t="shared" si="9"/>
        <v>522736.18728064501</v>
      </c>
      <c r="H42" s="478">
        <f t="shared" si="10"/>
        <v>522736.18728064501</v>
      </c>
      <c r="I42" s="501">
        <f t="shared" si="6"/>
        <v>0</v>
      </c>
      <c r="J42" s="501"/>
      <c r="K42" s="513"/>
      <c r="L42" s="505">
        <f t="shared" si="11"/>
        <v>0</v>
      </c>
      <c r="M42" s="513"/>
      <c r="N42" s="505">
        <f t="shared" si="4"/>
        <v>0</v>
      </c>
      <c r="O42" s="505">
        <f t="shared" si="5"/>
        <v>0</v>
      </c>
      <c r="P42" s="279"/>
      <c r="R42" s="244"/>
      <c r="S42" s="244"/>
      <c r="T42" s="244"/>
      <c r="U42" s="244"/>
    </row>
    <row r="43" spans="2:21" ht="12.5">
      <c r="B43" s="145" t="str">
        <f t="shared" si="12"/>
        <v/>
      </c>
      <c r="C43" s="496">
        <f>IF(D11="","-",+C42+1)</f>
        <v>2041</v>
      </c>
      <c r="D43" s="509">
        <f>IF(F42+SUM(E$17:E42)=D$10,F42,D$10-SUM(E$17:E42))</f>
        <v>2427678.6196751092</v>
      </c>
      <c r="E43" s="510">
        <f t="shared" si="7"/>
        <v>251032.4705882353</v>
      </c>
      <c r="F43" s="511">
        <f t="shared" si="8"/>
        <v>2176646.149086874</v>
      </c>
      <c r="G43" s="512">
        <f t="shared" si="9"/>
        <v>496022.02751467458</v>
      </c>
      <c r="H43" s="478">
        <f t="shared" si="10"/>
        <v>496022.02751467458</v>
      </c>
      <c r="I43" s="501">
        <f t="shared" si="6"/>
        <v>0</v>
      </c>
      <c r="J43" s="501"/>
      <c r="K43" s="513"/>
      <c r="L43" s="505">
        <f t="shared" si="11"/>
        <v>0</v>
      </c>
      <c r="M43" s="513"/>
      <c r="N43" s="505">
        <f t="shared" si="4"/>
        <v>0</v>
      </c>
      <c r="O43" s="505">
        <f t="shared" si="5"/>
        <v>0</v>
      </c>
      <c r="P43" s="279"/>
      <c r="R43" s="244"/>
      <c r="S43" s="244"/>
      <c r="T43" s="244"/>
      <c r="U43" s="244"/>
    </row>
    <row r="44" spans="2:21" ht="12.5">
      <c r="B44" s="145" t="str">
        <f t="shared" si="12"/>
        <v/>
      </c>
      <c r="C44" s="496">
        <f>IF(D11="","-",+C43+1)</f>
        <v>2042</v>
      </c>
      <c r="D44" s="509">
        <f>IF(F43+SUM(E$17:E43)=D$10,F43,D$10-SUM(E$17:E43))</f>
        <v>2176646.149086874</v>
      </c>
      <c r="E44" s="510">
        <f t="shared" si="7"/>
        <v>251032.4705882353</v>
      </c>
      <c r="F44" s="511">
        <f t="shared" si="8"/>
        <v>1925613.6784986388</v>
      </c>
      <c r="G44" s="512">
        <f t="shared" si="9"/>
        <v>469307.86774870427</v>
      </c>
      <c r="H44" s="478">
        <f t="shared" si="10"/>
        <v>469307.86774870427</v>
      </c>
      <c r="I44" s="501">
        <f t="shared" si="6"/>
        <v>0</v>
      </c>
      <c r="J44" s="501"/>
      <c r="K44" s="513"/>
      <c r="L44" s="505">
        <f t="shared" si="11"/>
        <v>0</v>
      </c>
      <c r="M44" s="513"/>
      <c r="N44" s="505">
        <f t="shared" si="4"/>
        <v>0</v>
      </c>
      <c r="O44" s="505">
        <f t="shared" si="5"/>
        <v>0</v>
      </c>
      <c r="P44" s="279"/>
      <c r="R44" s="244"/>
      <c r="S44" s="244"/>
      <c r="T44" s="244"/>
      <c r="U44" s="244"/>
    </row>
    <row r="45" spans="2:21" ht="12.5">
      <c r="B45" s="145" t="str">
        <f t="shared" si="12"/>
        <v/>
      </c>
      <c r="C45" s="496">
        <f>IF(D11="","-",+C44+1)</f>
        <v>2043</v>
      </c>
      <c r="D45" s="509">
        <f>IF(F44+SUM(E$17:E44)=D$10,F44,D$10-SUM(E$17:E44))</f>
        <v>1925613.6784986388</v>
      </c>
      <c r="E45" s="510">
        <f t="shared" si="7"/>
        <v>251032.4705882353</v>
      </c>
      <c r="F45" s="511">
        <f t="shared" si="8"/>
        <v>1674581.2079104036</v>
      </c>
      <c r="G45" s="512">
        <f t="shared" si="9"/>
        <v>442593.70798273385</v>
      </c>
      <c r="H45" s="478">
        <f t="shared" si="10"/>
        <v>442593.70798273385</v>
      </c>
      <c r="I45" s="501">
        <f t="shared" si="6"/>
        <v>0</v>
      </c>
      <c r="J45" s="501"/>
      <c r="K45" s="513"/>
      <c r="L45" s="505">
        <f t="shared" si="11"/>
        <v>0</v>
      </c>
      <c r="M45" s="513"/>
      <c r="N45" s="505">
        <f t="shared" si="4"/>
        <v>0</v>
      </c>
      <c r="O45" s="505">
        <f t="shared" si="5"/>
        <v>0</v>
      </c>
      <c r="P45" s="279"/>
      <c r="R45" s="244"/>
      <c r="S45" s="244"/>
      <c r="T45" s="244"/>
      <c r="U45" s="244"/>
    </row>
    <row r="46" spans="2:21" ht="12.5">
      <c r="B46" s="145" t="str">
        <f t="shared" si="12"/>
        <v/>
      </c>
      <c r="C46" s="496">
        <f>IF(D11="","-",+C45+1)</f>
        <v>2044</v>
      </c>
      <c r="D46" s="509">
        <f>IF(F45+SUM(E$17:E45)=D$10,F45,D$10-SUM(E$17:E45))</f>
        <v>1674581.2079104036</v>
      </c>
      <c r="E46" s="510">
        <f t="shared" si="7"/>
        <v>251032.4705882353</v>
      </c>
      <c r="F46" s="511">
        <f t="shared" si="8"/>
        <v>1423548.7373221684</v>
      </c>
      <c r="G46" s="512">
        <f t="shared" si="9"/>
        <v>415879.54821676342</v>
      </c>
      <c r="H46" s="478">
        <f t="shared" si="10"/>
        <v>415879.54821676342</v>
      </c>
      <c r="I46" s="501">
        <f t="shared" si="6"/>
        <v>0</v>
      </c>
      <c r="J46" s="501"/>
      <c r="K46" s="513"/>
      <c r="L46" s="505">
        <f t="shared" si="11"/>
        <v>0</v>
      </c>
      <c r="M46" s="513"/>
      <c r="N46" s="505">
        <f t="shared" si="4"/>
        <v>0</v>
      </c>
      <c r="O46" s="505">
        <f t="shared" si="5"/>
        <v>0</v>
      </c>
      <c r="P46" s="279"/>
      <c r="R46" s="244"/>
      <c r="S46" s="244"/>
      <c r="T46" s="244"/>
      <c r="U46" s="244"/>
    </row>
    <row r="47" spans="2:21" ht="12.5">
      <c r="B47" s="145" t="str">
        <f t="shared" si="0"/>
        <v/>
      </c>
      <c r="C47" s="496">
        <f>IF(D11="","-",+C46+1)</f>
        <v>2045</v>
      </c>
      <c r="D47" s="509">
        <f>IF(F46+SUM(E$17:E46)=D$10,F46,D$10-SUM(E$17:E46))</f>
        <v>1423548.7373221684</v>
      </c>
      <c r="E47" s="510">
        <f t="shared" si="7"/>
        <v>251032.4705882353</v>
      </c>
      <c r="F47" s="511">
        <f t="shared" si="8"/>
        <v>1172516.2667339332</v>
      </c>
      <c r="G47" s="512">
        <f t="shared" si="9"/>
        <v>389165.38845079305</v>
      </c>
      <c r="H47" s="478">
        <f t="shared" si="10"/>
        <v>389165.38845079305</v>
      </c>
      <c r="I47" s="501">
        <f t="shared" si="6"/>
        <v>0</v>
      </c>
      <c r="J47" s="501"/>
      <c r="K47" s="513"/>
      <c r="L47" s="505">
        <f t="shared" si="11"/>
        <v>0</v>
      </c>
      <c r="M47" s="513"/>
      <c r="N47" s="505">
        <f t="shared" si="4"/>
        <v>0</v>
      </c>
      <c r="O47" s="505">
        <f t="shared" si="5"/>
        <v>0</v>
      </c>
      <c r="P47" s="279"/>
      <c r="R47" s="244"/>
      <c r="S47" s="244"/>
      <c r="T47" s="244"/>
      <c r="U47" s="244"/>
    </row>
    <row r="48" spans="2:21" ht="12.5">
      <c r="B48" s="145" t="str">
        <f t="shared" si="0"/>
        <v/>
      </c>
      <c r="C48" s="496">
        <f>IF(D11="","-",+C47+1)</f>
        <v>2046</v>
      </c>
      <c r="D48" s="509">
        <f>IF(F47+SUM(E$17:E47)=D$10,F47,D$10-SUM(E$17:E47))</f>
        <v>1172516.2667339332</v>
      </c>
      <c r="E48" s="510">
        <f t="shared" si="7"/>
        <v>251032.4705882353</v>
      </c>
      <c r="F48" s="511">
        <f t="shared" si="8"/>
        <v>921483.79614569794</v>
      </c>
      <c r="G48" s="512">
        <f t="shared" si="9"/>
        <v>362451.22868482268</v>
      </c>
      <c r="H48" s="478">
        <f t="shared" si="10"/>
        <v>362451.22868482268</v>
      </c>
      <c r="I48" s="501">
        <f t="shared" si="6"/>
        <v>0</v>
      </c>
      <c r="J48" s="501"/>
      <c r="K48" s="513"/>
      <c r="L48" s="505">
        <f t="shared" si="11"/>
        <v>0</v>
      </c>
      <c r="M48" s="513"/>
      <c r="N48" s="505">
        <f t="shared" si="4"/>
        <v>0</v>
      </c>
      <c r="O48" s="505">
        <f t="shared" si="5"/>
        <v>0</v>
      </c>
      <c r="P48" s="279"/>
      <c r="R48" s="244"/>
      <c r="S48" s="244"/>
      <c r="T48" s="244"/>
      <c r="U48" s="244"/>
    </row>
    <row r="49" spans="2:21" ht="12.5">
      <c r="B49" s="145" t="str">
        <f t="shared" si="0"/>
        <v/>
      </c>
      <c r="C49" s="496">
        <f>IF(D11="","-",+C48+1)</f>
        <v>2047</v>
      </c>
      <c r="D49" s="509">
        <f>IF(F48+SUM(E$17:E48)=D$10,F48,D$10-SUM(E$17:E48))</f>
        <v>921483.79614569794</v>
      </c>
      <c r="E49" s="510">
        <f t="shared" si="7"/>
        <v>251032.4705882353</v>
      </c>
      <c r="F49" s="511">
        <f t="shared" si="8"/>
        <v>670451.32555746264</v>
      </c>
      <c r="G49" s="512">
        <f t="shared" si="9"/>
        <v>335737.06891885225</v>
      </c>
      <c r="H49" s="478">
        <f t="shared" si="10"/>
        <v>335737.06891885225</v>
      </c>
      <c r="I49" s="501">
        <f t="shared" si="6"/>
        <v>0</v>
      </c>
      <c r="J49" s="501"/>
      <c r="K49" s="513"/>
      <c r="L49" s="505">
        <f t="shared" si="11"/>
        <v>0</v>
      </c>
      <c r="M49" s="513"/>
      <c r="N49" s="505">
        <f t="shared" si="4"/>
        <v>0</v>
      </c>
      <c r="O49" s="505">
        <f t="shared" si="5"/>
        <v>0</v>
      </c>
      <c r="P49" s="279"/>
      <c r="R49" s="244"/>
      <c r="S49" s="244"/>
      <c r="T49" s="244"/>
      <c r="U49" s="244"/>
    </row>
    <row r="50" spans="2:21" ht="12.5">
      <c r="B50" s="145" t="str">
        <f t="shared" si="0"/>
        <v/>
      </c>
      <c r="C50" s="496">
        <f>IF(D11="","-",+C49+1)</f>
        <v>2048</v>
      </c>
      <c r="D50" s="509">
        <f>IF(F49+SUM(E$17:E49)=D$10,F49,D$10-SUM(E$17:E49))</f>
        <v>670451.32555746264</v>
      </c>
      <c r="E50" s="510">
        <f t="shared" si="7"/>
        <v>251032.4705882353</v>
      </c>
      <c r="F50" s="511">
        <f t="shared" si="8"/>
        <v>419418.85496922734</v>
      </c>
      <c r="G50" s="512">
        <f t="shared" si="9"/>
        <v>309022.90915288188</v>
      </c>
      <c r="H50" s="478">
        <f t="shared" si="10"/>
        <v>309022.90915288188</v>
      </c>
      <c r="I50" s="501">
        <f t="shared" si="6"/>
        <v>0</v>
      </c>
      <c r="J50" s="501"/>
      <c r="K50" s="513"/>
      <c r="L50" s="505">
        <f t="shared" si="11"/>
        <v>0</v>
      </c>
      <c r="M50" s="513"/>
      <c r="N50" s="505">
        <f t="shared" si="4"/>
        <v>0</v>
      </c>
      <c r="O50" s="505">
        <f t="shared" si="5"/>
        <v>0</v>
      </c>
      <c r="P50" s="279"/>
      <c r="R50" s="244"/>
      <c r="S50" s="244"/>
      <c r="T50" s="244"/>
      <c r="U50" s="244"/>
    </row>
    <row r="51" spans="2:21" ht="12.5">
      <c r="B51" s="145" t="str">
        <f t="shared" si="0"/>
        <v/>
      </c>
      <c r="C51" s="496">
        <f>IF(D11="","-",+C50+1)</f>
        <v>2049</v>
      </c>
      <c r="D51" s="509">
        <f>IF(F50+SUM(E$17:E50)=D$10,F50,D$10-SUM(E$17:E50))</f>
        <v>419418.85496922734</v>
      </c>
      <c r="E51" s="510">
        <f t="shared" si="7"/>
        <v>251032.4705882353</v>
      </c>
      <c r="F51" s="511">
        <f t="shared" si="8"/>
        <v>168386.38438099204</v>
      </c>
      <c r="G51" s="512">
        <f t="shared" si="9"/>
        <v>282308.74938691146</v>
      </c>
      <c r="H51" s="478">
        <f t="shared" si="10"/>
        <v>282308.74938691146</v>
      </c>
      <c r="I51" s="501">
        <f t="shared" si="6"/>
        <v>0</v>
      </c>
      <c r="J51" s="501"/>
      <c r="K51" s="513"/>
      <c r="L51" s="505">
        <f t="shared" si="11"/>
        <v>0</v>
      </c>
      <c r="M51" s="513"/>
      <c r="N51" s="505">
        <f t="shared" si="4"/>
        <v>0</v>
      </c>
      <c r="O51" s="505">
        <f t="shared" si="5"/>
        <v>0</v>
      </c>
      <c r="P51" s="279"/>
      <c r="R51" s="244"/>
      <c r="S51" s="244"/>
      <c r="T51" s="244"/>
      <c r="U51" s="244"/>
    </row>
    <row r="52" spans="2:21" ht="12.5">
      <c r="B52" s="145" t="str">
        <f t="shared" si="0"/>
        <v/>
      </c>
      <c r="C52" s="496">
        <f>IF(D11="","-",+C51+1)</f>
        <v>2050</v>
      </c>
      <c r="D52" s="509">
        <f>IF(F51+SUM(E$17:E51)=D$10,F51,D$10-SUM(E$17:E51))</f>
        <v>168386.38438099204</v>
      </c>
      <c r="E52" s="510">
        <f t="shared" si="7"/>
        <v>168386.38438099204</v>
      </c>
      <c r="F52" s="511">
        <f t="shared" si="8"/>
        <v>0</v>
      </c>
      <c r="G52" s="512">
        <f t="shared" si="9"/>
        <v>177345.98383883751</v>
      </c>
      <c r="H52" s="478">
        <f t="shared" si="10"/>
        <v>177345.98383883751</v>
      </c>
      <c r="I52" s="501">
        <f t="shared" si="6"/>
        <v>0</v>
      </c>
      <c r="J52" s="501"/>
      <c r="K52" s="513"/>
      <c r="L52" s="505">
        <f t="shared" si="11"/>
        <v>0</v>
      </c>
      <c r="M52" s="513"/>
      <c r="N52" s="505">
        <f t="shared" si="4"/>
        <v>0</v>
      </c>
      <c r="O52" s="505">
        <f t="shared" si="5"/>
        <v>0</v>
      </c>
      <c r="P52" s="279"/>
      <c r="R52" s="244"/>
      <c r="S52" s="244"/>
      <c r="T52" s="244"/>
      <c r="U52" s="244"/>
    </row>
    <row r="53" spans="2:21" ht="12.5">
      <c r="B53" s="145" t="str">
        <f t="shared" si="0"/>
        <v/>
      </c>
      <c r="C53" s="496">
        <f>IF(D11="","-",+C52+1)</f>
        <v>2051</v>
      </c>
      <c r="D53" s="509">
        <f>IF(F52+SUM(E$17:E52)=D$10,F52,D$10-SUM(E$17:E52))</f>
        <v>0</v>
      </c>
      <c r="E53" s="510">
        <f t="shared" si="7"/>
        <v>0</v>
      </c>
      <c r="F53" s="511">
        <f t="shared" si="8"/>
        <v>0</v>
      </c>
      <c r="G53" s="512">
        <f t="shared" si="9"/>
        <v>0</v>
      </c>
      <c r="H53" s="478">
        <f t="shared" si="10"/>
        <v>0</v>
      </c>
      <c r="I53" s="501">
        <f t="shared" si="6"/>
        <v>0</v>
      </c>
      <c r="J53" s="501"/>
      <c r="K53" s="513"/>
      <c r="L53" s="505">
        <f t="shared" si="11"/>
        <v>0</v>
      </c>
      <c r="M53" s="513"/>
      <c r="N53" s="505">
        <f t="shared" si="4"/>
        <v>0</v>
      </c>
      <c r="O53" s="505">
        <f t="shared" si="5"/>
        <v>0</v>
      </c>
      <c r="P53" s="279"/>
      <c r="R53" s="244"/>
      <c r="S53" s="244"/>
      <c r="T53" s="244"/>
      <c r="U53" s="244"/>
    </row>
    <row r="54" spans="2:21" ht="12.5">
      <c r="B54" s="145" t="str">
        <f t="shared" si="0"/>
        <v/>
      </c>
      <c r="C54" s="496">
        <f>IF(D11="","-",+C53+1)</f>
        <v>2052</v>
      </c>
      <c r="D54" s="509">
        <f>IF(F53+SUM(E$17:E53)=D$10,F53,D$10-SUM(E$17:E53))</f>
        <v>0</v>
      </c>
      <c r="E54" s="510">
        <f t="shared" si="7"/>
        <v>0</v>
      </c>
      <c r="F54" s="511">
        <f t="shared" si="8"/>
        <v>0</v>
      </c>
      <c r="G54" s="512">
        <f t="shared" si="9"/>
        <v>0</v>
      </c>
      <c r="H54" s="478">
        <f t="shared" si="10"/>
        <v>0</v>
      </c>
      <c r="I54" s="501">
        <f t="shared" si="6"/>
        <v>0</v>
      </c>
      <c r="J54" s="501"/>
      <c r="K54" s="513"/>
      <c r="L54" s="505">
        <f t="shared" si="11"/>
        <v>0</v>
      </c>
      <c r="M54" s="513"/>
      <c r="N54" s="505">
        <f t="shared" si="4"/>
        <v>0</v>
      </c>
      <c r="O54" s="505">
        <f t="shared" si="5"/>
        <v>0</v>
      </c>
      <c r="P54" s="279"/>
      <c r="R54" s="244"/>
      <c r="S54" s="244"/>
      <c r="T54" s="244"/>
      <c r="U54" s="244"/>
    </row>
    <row r="55" spans="2:21" ht="12.5">
      <c r="B55" s="145" t="str">
        <f t="shared" si="0"/>
        <v/>
      </c>
      <c r="C55" s="496">
        <f>IF(D11="","-",+C54+1)</f>
        <v>2053</v>
      </c>
      <c r="D55" s="509">
        <f>IF(F54+SUM(E$17:E54)=D$10,F54,D$10-SUM(E$17:E54))</f>
        <v>0</v>
      </c>
      <c r="E55" s="510">
        <f t="shared" si="7"/>
        <v>0</v>
      </c>
      <c r="F55" s="511">
        <f t="shared" si="8"/>
        <v>0</v>
      </c>
      <c r="G55" s="512">
        <f t="shared" si="9"/>
        <v>0</v>
      </c>
      <c r="H55" s="478">
        <f t="shared" si="10"/>
        <v>0</v>
      </c>
      <c r="I55" s="501">
        <f t="shared" si="6"/>
        <v>0</v>
      </c>
      <c r="J55" s="501"/>
      <c r="K55" s="513"/>
      <c r="L55" s="505">
        <f t="shared" si="11"/>
        <v>0</v>
      </c>
      <c r="M55" s="513"/>
      <c r="N55" s="505">
        <f t="shared" si="4"/>
        <v>0</v>
      </c>
      <c r="O55" s="505">
        <f t="shared" si="5"/>
        <v>0</v>
      </c>
      <c r="P55" s="279"/>
      <c r="R55" s="244"/>
      <c r="S55" s="244"/>
      <c r="T55" s="244"/>
      <c r="U55" s="244"/>
    </row>
    <row r="56" spans="2:21" ht="12.5">
      <c r="B56" s="145" t="str">
        <f t="shared" si="0"/>
        <v/>
      </c>
      <c r="C56" s="496">
        <f>IF(D11="","-",+C55+1)</f>
        <v>2054</v>
      </c>
      <c r="D56" s="509">
        <f>IF(F55+SUM(E$17:E55)=D$10,F55,D$10-SUM(E$17:E55))</f>
        <v>0</v>
      </c>
      <c r="E56" s="510">
        <f t="shared" si="7"/>
        <v>0</v>
      </c>
      <c r="F56" s="511">
        <f t="shared" si="8"/>
        <v>0</v>
      </c>
      <c r="G56" s="512">
        <f t="shared" si="9"/>
        <v>0</v>
      </c>
      <c r="H56" s="478">
        <f t="shared" si="10"/>
        <v>0</v>
      </c>
      <c r="I56" s="501">
        <f t="shared" si="6"/>
        <v>0</v>
      </c>
      <c r="J56" s="501"/>
      <c r="K56" s="513"/>
      <c r="L56" s="505">
        <f t="shared" si="11"/>
        <v>0</v>
      </c>
      <c r="M56" s="513"/>
      <c r="N56" s="505">
        <f t="shared" si="4"/>
        <v>0</v>
      </c>
      <c r="O56" s="505">
        <f t="shared" si="5"/>
        <v>0</v>
      </c>
      <c r="P56" s="279"/>
      <c r="R56" s="244"/>
      <c r="S56" s="244"/>
      <c r="T56" s="244"/>
      <c r="U56" s="244"/>
    </row>
    <row r="57" spans="2:21" ht="12.5">
      <c r="B57" s="145" t="str">
        <f t="shared" si="0"/>
        <v/>
      </c>
      <c r="C57" s="496">
        <f>IF(D11="","-",+C56+1)</f>
        <v>2055</v>
      </c>
      <c r="D57" s="509">
        <f>IF(F56+SUM(E$17:E56)=D$10,F56,D$10-SUM(E$17:E56))</f>
        <v>0</v>
      </c>
      <c r="E57" s="510">
        <f t="shared" si="7"/>
        <v>0</v>
      </c>
      <c r="F57" s="511">
        <f t="shared" si="8"/>
        <v>0</v>
      </c>
      <c r="G57" s="512">
        <f t="shared" si="9"/>
        <v>0</v>
      </c>
      <c r="H57" s="478">
        <f t="shared" si="10"/>
        <v>0</v>
      </c>
      <c r="I57" s="501">
        <f t="shared" si="6"/>
        <v>0</v>
      </c>
      <c r="J57" s="501"/>
      <c r="K57" s="513"/>
      <c r="L57" s="505">
        <f t="shared" si="11"/>
        <v>0</v>
      </c>
      <c r="M57" s="513"/>
      <c r="N57" s="505">
        <f t="shared" si="4"/>
        <v>0</v>
      </c>
      <c r="O57" s="505">
        <f t="shared" si="5"/>
        <v>0</v>
      </c>
      <c r="P57" s="279"/>
      <c r="R57" s="244"/>
      <c r="S57" s="244"/>
      <c r="T57" s="244"/>
      <c r="U57" s="244"/>
    </row>
    <row r="58" spans="2:21" ht="12.5">
      <c r="B58" s="145" t="str">
        <f t="shared" si="0"/>
        <v/>
      </c>
      <c r="C58" s="496">
        <f>IF(D11="","-",+C57+1)</f>
        <v>2056</v>
      </c>
      <c r="D58" s="509">
        <f>IF(F57+SUM(E$17:E57)=D$10,F57,D$10-SUM(E$17:E57))</f>
        <v>0</v>
      </c>
      <c r="E58" s="510">
        <f t="shared" si="7"/>
        <v>0</v>
      </c>
      <c r="F58" s="511">
        <f t="shared" si="8"/>
        <v>0</v>
      </c>
      <c r="G58" s="512">
        <f t="shared" si="9"/>
        <v>0</v>
      </c>
      <c r="H58" s="478">
        <f t="shared" si="10"/>
        <v>0</v>
      </c>
      <c r="I58" s="501">
        <f t="shared" si="6"/>
        <v>0</v>
      </c>
      <c r="J58" s="501"/>
      <c r="K58" s="513"/>
      <c r="L58" s="505">
        <f t="shared" si="11"/>
        <v>0</v>
      </c>
      <c r="M58" s="513"/>
      <c r="N58" s="505">
        <f t="shared" si="4"/>
        <v>0</v>
      </c>
      <c r="O58" s="505">
        <f t="shared" si="5"/>
        <v>0</v>
      </c>
      <c r="P58" s="279"/>
      <c r="R58" s="244"/>
      <c r="S58" s="244"/>
      <c r="T58" s="244"/>
      <c r="U58" s="244"/>
    </row>
    <row r="59" spans="2:21" ht="12.5">
      <c r="B59" s="145" t="str">
        <f t="shared" si="0"/>
        <v/>
      </c>
      <c r="C59" s="496">
        <f>IF(D11="","-",+C58+1)</f>
        <v>2057</v>
      </c>
      <c r="D59" s="509">
        <f>IF(F58+SUM(E$17:E58)=D$10,F58,D$10-SUM(E$17:E58))</f>
        <v>0</v>
      </c>
      <c r="E59" s="510">
        <f t="shared" si="7"/>
        <v>0</v>
      </c>
      <c r="F59" s="511">
        <f t="shared" si="8"/>
        <v>0</v>
      </c>
      <c r="G59" s="512">
        <f t="shared" si="9"/>
        <v>0</v>
      </c>
      <c r="H59" s="478">
        <f t="shared" si="10"/>
        <v>0</v>
      </c>
      <c r="I59" s="501">
        <f t="shared" si="6"/>
        <v>0</v>
      </c>
      <c r="J59" s="501"/>
      <c r="K59" s="513"/>
      <c r="L59" s="505">
        <f t="shared" si="11"/>
        <v>0</v>
      </c>
      <c r="M59" s="513"/>
      <c r="N59" s="505">
        <f t="shared" si="4"/>
        <v>0</v>
      </c>
      <c r="O59" s="505">
        <f t="shared" si="5"/>
        <v>0</v>
      </c>
      <c r="P59" s="279"/>
      <c r="R59" s="244"/>
      <c r="S59" s="244"/>
      <c r="T59" s="244"/>
      <c r="U59" s="244"/>
    </row>
    <row r="60" spans="2:21" ht="12.5">
      <c r="B60" s="145" t="str">
        <f t="shared" si="0"/>
        <v/>
      </c>
      <c r="C60" s="496">
        <f>IF(D11="","-",+C59+1)</f>
        <v>2058</v>
      </c>
      <c r="D60" s="509">
        <f>IF(F59+SUM(E$17:E59)=D$10,F59,D$10-SUM(E$17:E59))</f>
        <v>0</v>
      </c>
      <c r="E60" s="510">
        <f t="shared" si="7"/>
        <v>0</v>
      </c>
      <c r="F60" s="511">
        <f t="shared" si="8"/>
        <v>0</v>
      </c>
      <c r="G60" s="512">
        <f t="shared" si="9"/>
        <v>0</v>
      </c>
      <c r="H60" s="478">
        <f t="shared" si="10"/>
        <v>0</v>
      </c>
      <c r="I60" s="501">
        <f t="shared" si="6"/>
        <v>0</v>
      </c>
      <c r="J60" s="501"/>
      <c r="K60" s="513"/>
      <c r="L60" s="505">
        <f t="shared" si="11"/>
        <v>0</v>
      </c>
      <c r="M60" s="513"/>
      <c r="N60" s="505">
        <f t="shared" si="4"/>
        <v>0</v>
      </c>
      <c r="O60" s="505">
        <f t="shared" si="5"/>
        <v>0</v>
      </c>
      <c r="P60" s="279"/>
      <c r="R60" s="244"/>
      <c r="S60" s="244"/>
      <c r="T60" s="244"/>
      <c r="U60" s="244"/>
    </row>
    <row r="61" spans="2:21" ht="12.5">
      <c r="B61" s="145" t="str">
        <f>IF(D61=F60,"","IU")</f>
        <v/>
      </c>
      <c r="C61" s="496">
        <f>IF(D11="","-",+C60+1)</f>
        <v>2059</v>
      </c>
      <c r="D61" s="509">
        <f>IF(F60+SUM(E$17:E60)=D$10,F60,D$10-SUM(E$17:E60))</f>
        <v>0</v>
      </c>
      <c r="E61" s="510">
        <f t="shared" si="7"/>
        <v>0</v>
      </c>
      <c r="F61" s="511">
        <f t="shared" si="8"/>
        <v>0</v>
      </c>
      <c r="G61" s="512">
        <f t="shared" si="9"/>
        <v>0</v>
      </c>
      <c r="H61" s="478">
        <f t="shared" si="10"/>
        <v>0</v>
      </c>
      <c r="I61" s="501">
        <f t="shared" si="6"/>
        <v>0</v>
      </c>
      <c r="J61" s="501"/>
      <c r="K61" s="513"/>
      <c r="L61" s="505">
        <f t="shared" si="11"/>
        <v>0</v>
      </c>
      <c r="M61" s="513"/>
      <c r="N61" s="505">
        <f t="shared" si="4"/>
        <v>0</v>
      </c>
      <c r="O61" s="505">
        <f t="shared" si="5"/>
        <v>0</v>
      </c>
      <c r="P61" s="279"/>
      <c r="R61" s="244"/>
      <c r="S61" s="244"/>
      <c r="T61" s="244"/>
      <c r="U61" s="244"/>
    </row>
    <row r="62" spans="2:21" ht="12.5">
      <c r="B62" s="145" t="str">
        <f t="shared" si="0"/>
        <v/>
      </c>
      <c r="C62" s="496">
        <f>IF(D11="","-",+C61+1)</f>
        <v>2060</v>
      </c>
      <c r="D62" s="509">
        <f>IF(F61+SUM(E$17:E61)=D$10,F61,D$10-SUM(E$17:E61))</f>
        <v>0</v>
      </c>
      <c r="E62" s="510">
        <f t="shared" si="7"/>
        <v>0</v>
      </c>
      <c r="F62" s="511">
        <f t="shared" si="8"/>
        <v>0</v>
      </c>
      <c r="G62" s="512">
        <f t="shared" si="9"/>
        <v>0</v>
      </c>
      <c r="H62" s="478">
        <f t="shared" si="10"/>
        <v>0</v>
      </c>
      <c r="I62" s="501">
        <f t="shared" si="6"/>
        <v>0</v>
      </c>
      <c r="J62" s="501"/>
      <c r="K62" s="513"/>
      <c r="L62" s="505">
        <f t="shared" si="11"/>
        <v>0</v>
      </c>
      <c r="M62" s="513"/>
      <c r="N62" s="505">
        <f t="shared" si="4"/>
        <v>0</v>
      </c>
      <c r="O62" s="505">
        <f t="shared" si="5"/>
        <v>0</v>
      </c>
      <c r="P62" s="279"/>
      <c r="R62" s="244"/>
      <c r="S62" s="244"/>
      <c r="T62" s="244"/>
      <c r="U62" s="244"/>
    </row>
    <row r="63" spans="2:21" ht="12.5">
      <c r="B63" s="145" t="str">
        <f t="shared" si="0"/>
        <v/>
      </c>
      <c r="C63" s="496">
        <f>IF(D11="","-",+C62+1)</f>
        <v>2061</v>
      </c>
      <c r="D63" s="509">
        <f>IF(F62+SUM(E$17:E62)=D$10,F62,D$10-SUM(E$17:E62))</f>
        <v>0</v>
      </c>
      <c r="E63" s="510">
        <f t="shared" si="7"/>
        <v>0</v>
      </c>
      <c r="F63" s="511">
        <f t="shared" si="8"/>
        <v>0</v>
      </c>
      <c r="G63" s="512">
        <f t="shared" si="9"/>
        <v>0</v>
      </c>
      <c r="H63" s="478">
        <f t="shared" si="10"/>
        <v>0</v>
      </c>
      <c r="I63" s="501">
        <f t="shared" si="6"/>
        <v>0</v>
      </c>
      <c r="J63" s="501"/>
      <c r="K63" s="513"/>
      <c r="L63" s="505">
        <f t="shared" si="11"/>
        <v>0</v>
      </c>
      <c r="M63" s="513"/>
      <c r="N63" s="505">
        <f t="shared" si="4"/>
        <v>0</v>
      </c>
      <c r="O63" s="505">
        <f t="shared" si="5"/>
        <v>0</v>
      </c>
      <c r="P63" s="279"/>
      <c r="R63" s="244"/>
      <c r="S63" s="244"/>
      <c r="T63" s="244"/>
      <c r="U63" s="244"/>
    </row>
    <row r="64" spans="2:21" ht="12.5">
      <c r="B64" s="145" t="str">
        <f t="shared" si="0"/>
        <v/>
      </c>
      <c r="C64" s="496">
        <f>IF(D11="","-",+C63+1)</f>
        <v>2062</v>
      </c>
      <c r="D64" s="509">
        <f>IF(F63+SUM(E$17:E63)=D$10,F63,D$10-SUM(E$17:E63))</f>
        <v>0</v>
      </c>
      <c r="E64" s="510">
        <f t="shared" si="7"/>
        <v>0</v>
      </c>
      <c r="F64" s="511">
        <f t="shared" si="8"/>
        <v>0</v>
      </c>
      <c r="G64" s="512">
        <f t="shared" si="9"/>
        <v>0</v>
      </c>
      <c r="H64" s="478">
        <f t="shared" si="10"/>
        <v>0</v>
      </c>
      <c r="I64" s="501">
        <f t="shared" si="6"/>
        <v>0</v>
      </c>
      <c r="J64" s="501"/>
      <c r="K64" s="513"/>
      <c r="L64" s="505">
        <f t="shared" si="11"/>
        <v>0</v>
      </c>
      <c r="M64" s="513"/>
      <c r="N64" s="505">
        <f t="shared" si="4"/>
        <v>0</v>
      </c>
      <c r="O64" s="505">
        <f t="shared" si="5"/>
        <v>0</v>
      </c>
      <c r="P64" s="279"/>
      <c r="R64" s="244"/>
      <c r="S64" s="244"/>
      <c r="T64" s="244"/>
      <c r="U64" s="244"/>
    </row>
    <row r="65" spans="2:21" ht="12.5">
      <c r="B65" s="145" t="str">
        <f t="shared" si="0"/>
        <v/>
      </c>
      <c r="C65" s="496">
        <f>IF(D11="","-",+C64+1)</f>
        <v>2063</v>
      </c>
      <c r="D65" s="509">
        <f>IF(F64+SUM(E$17:E64)=D$10,F64,D$10-SUM(E$17:E64))</f>
        <v>0</v>
      </c>
      <c r="E65" s="510">
        <f t="shared" si="7"/>
        <v>0</v>
      </c>
      <c r="F65" s="511">
        <f t="shared" si="8"/>
        <v>0</v>
      </c>
      <c r="G65" s="512">
        <f t="shared" si="9"/>
        <v>0</v>
      </c>
      <c r="H65" s="478">
        <f t="shared" si="10"/>
        <v>0</v>
      </c>
      <c r="I65" s="501">
        <f t="shared" si="6"/>
        <v>0</v>
      </c>
      <c r="J65" s="501"/>
      <c r="K65" s="513"/>
      <c r="L65" s="505">
        <f t="shared" si="11"/>
        <v>0</v>
      </c>
      <c r="M65" s="513"/>
      <c r="N65" s="505">
        <f t="shared" si="4"/>
        <v>0</v>
      </c>
      <c r="O65" s="505">
        <f t="shared" si="5"/>
        <v>0</v>
      </c>
      <c r="P65" s="279"/>
      <c r="R65" s="244"/>
      <c r="S65" s="244"/>
      <c r="T65" s="244"/>
      <c r="U65" s="244"/>
    </row>
    <row r="66" spans="2:21" ht="12.5">
      <c r="B66" s="145" t="str">
        <f t="shared" si="0"/>
        <v/>
      </c>
      <c r="C66" s="496">
        <f>IF(D11="","-",+C65+1)</f>
        <v>2064</v>
      </c>
      <c r="D66" s="509">
        <f>IF(F65+SUM(E$17:E65)=D$10,F65,D$10-SUM(E$17:E65))</f>
        <v>0</v>
      </c>
      <c r="E66" s="510">
        <f t="shared" si="7"/>
        <v>0</v>
      </c>
      <c r="F66" s="511">
        <f t="shared" si="8"/>
        <v>0</v>
      </c>
      <c r="G66" s="512">
        <f t="shared" si="9"/>
        <v>0</v>
      </c>
      <c r="H66" s="478">
        <f t="shared" si="10"/>
        <v>0</v>
      </c>
      <c r="I66" s="501">
        <f t="shared" si="6"/>
        <v>0</v>
      </c>
      <c r="J66" s="501"/>
      <c r="K66" s="513"/>
      <c r="L66" s="505">
        <f t="shared" si="11"/>
        <v>0</v>
      </c>
      <c r="M66" s="513"/>
      <c r="N66" s="505">
        <f t="shared" si="4"/>
        <v>0</v>
      </c>
      <c r="O66" s="505">
        <f t="shared" si="5"/>
        <v>0</v>
      </c>
      <c r="P66" s="279"/>
      <c r="R66" s="244"/>
      <c r="S66" s="244"/>
      <c r="T66" s="244"/>
      <c r="U66" s="244"/>
    </row>
    <row r="67" spans="2:21" ht="12.5">
      <c r="B67" s="145" t="str">
        <f t="shared" si="0"/>
        <v/>
      </c>
      <c r="C67" s="496">
        <f>IF(D11="","-",+C66+1)</f>
        <v>2065</v>
      </c>
      <c r="D67" s="509">
        <f>IF(F66+SUM(E$17:E66)=D$10,F66,D$10-SUM(E$17:E66))</f>
        <v>0</v>
      </c>
      <c r="E67" s="510">
        <f t="shared" si="7"/>
        <v>0</v>
      </c>
      <c r="F67" s="511">
        <f t="shared" si="8"/>
        <v>0</v>
      </c>
      <c r="G67" s="512">
        <f t="shared" si="9"/>
        <v>0</v>
      </c>
      <c r="H67" s="478">
        <f t="shared" si="10"/>
        <v>0</v>
      </c>
      <c r="I67" s="501">
        <f t="shared" si="6"/>
        <v>0</v>
      </c>
      <c r="J67" s="501"/>
      <c r="K67" s="513"/>
      <c r="L67" s="505">
        <f t="shared" si="11"/>
        <v>0</v>
      </c>
      <c r="M67" s="513"/>
      <c r="N67" s="505">
        <f t="shared" si="4"/>
        <v>0</v>
      </c>
      <c r="O67" s="505">
        <f t="shared" si="5"/>
        <v>0</v>
      </c>
      <c r="P67" s="279"/>
      <c r="R67" s="244"/>
      <c r="S67" s="244"/>
      <c r="T67" s="244"/>
      <c r="U67" s="244"/>
    </row>
    <row r="68" spans="2:21" ht="12.5">
      <c r="B68" s="145" t="str">
        <f t="shared" si="0"/>
        <v/>
      </c>
      <c r="C68" s="496">
        <f>IF(D11="","-",+C67+1)</f>
        <v>2066</v>
      </c>
      <c r="D68" s="509">
        <f>IF(F67+SUM(E$17:E67)=D$10,F67,D$10-SUM(E$17:E67))</f>
        <v>0</v>
      </c>
      <c r="E68" s="510">
        <f t="shared" si="7"/>
        <v>0</v>
      </c>
      <c r="F68" s="511">
        <f t="shared" si="8"/>
        <v>0</v>
      </c>
      <c r="G68" s="512">
        <f t="shared" si="9"/>
        <v>0</v>
      </c>
      <c r="H68" s="478">
        <f t="shared" si="10"/>
        <v>0</v>
      </c>
      <c r="I68" s="501">
        <f t="shared" si="6"/>
        <v>0</v>
      </c>
      <c r="J68" s="501"/>
      <c r="K68" s="513"/>
      <c r="L68" s="505">
        <f t="shared" si="11"/>
        <v>0</v>
      </c>
      <c r="M68" s="513"/>
      <c r="N68" s="505">
        <f t="shared" si="4"/>
        <v>0</v>
      </c>
      <c r="O68" s="505">
        <f t="shared" si="5"/>
        <v>0</v>
      </c>
      <c r="P68" s="279"/>
      <c r="R68" s="244"/>
      <c r="S68" s="244"/>
      <c r="T68" s="244"/>
      <c r="U68" s="244"/>
    </row>
    <row r="69" spans="2:21" ht="12.5">
      <c r="B69" s="145" t="str">
        <f t="shared" si="0"/>
        <v/>
      </c>
      <c r="C69" s="496">
        <f>IF(D11="","-",+C68+1)</f>
        <v>2067</v>
      </c>
      <c r="D69" s="509">
        <f>IF(F68+SUM(E$17:E68)=D$10,F68,D$10-SUM(E$17:E68))</f>
        <v>0</v>
      </c>
      <c r="E69" s="510">
        <f t="shared" si="7"/>
        <v>0</v>
      </c>
      <c r="F69" s="511">
        <f t="shared" si="8"/>
        <v>0</v>
      </c>
      <c r="G69" s="512">
        <f t="shared" si="9"/>
        <v>0</v>
      </c>
      <c r="H69" s="478">
        <f t="shared" si="10"/>
        <v>0</v>
      </c>
      <c r="I69" s="501">
        <f t="shared" si="6"/>
        <v>0</v>
      </c>
      <c r="J69" s="501"/>
      <c r="K69" s="513"/>
      <c r="L69" s="505">
        <f t="shared" si="11"/>
        <v>0</v>
      </c>
      <c r="M69" s="513"/>
      <c r="N69" s="505">
        <f t="shared" si="4"/>
        <v>0</v>
      </c>
      <c r="O69" s="505">
        <f t="shared" si="5"/>
        <v>0</v>
      </c>
      <c r="P69" s="279"/>
      <c r="R69" s="244"/>
      <c r="S69" s="244"/>
      <c r="T69" s="244"/>
      <c r="U69" s="244"/>
    </row>
    <row r="70" spans="2:21" ht="12.5">
      <c r="B70" s="145" t="str">
        <f t="shared" si="0"/>
        <v/>
      </c>
      <c r="C70" s="496">
        <f>IF(D11="","-",+C69+1)</f>
        <v>2068</v>
      </c>
      <c r="D70" s="509">
        <f>IF(F69+SUM(E$17:E69)=D$10,F69,D$10-SUM(E$17:E69))</f>
        <v>0</v>
      </c>
      <c r="E70" s="510">
        <f t="shared" si="7"/>
        <v>0</v>
      </c>
      <c r="F70" s="511">
        <f t="shared" si="8"/>
        <v>0</v>
      </c>
      <c r="G70" s="512">
        <f t="shared" si="9"/>
        <v>0</v>
      </c>
      <c r="H70" s="478">
        <f t="shared" si="10"/>
        <v>0</v>
      </c>
      <c r="I70" s="501">
        <f t="shared" si="6"/>
        <v>0</v>
      </c>
      <c r="J70" s="501"/>
      <c r="K70" s="513"/>
      <c r="L70" s="505">
        <f t="shared" si="11"/>
        <v>0</v>
      </c>
      <c r="M70" s="513"/>
      <c r="N70" s="505">
        <f t="shared" si="4"/>
        <v>0</v>
      </c>
      <c r="O70" s="505">
        <f t="shared" si="5"/>
        <v>0</v>
      </c>
      <c r="P70" s="279"/>
      <c r="R70" s="244"/>
      <c r="S70" s="244"/>
      <c r="T70" s="244"/>
      <c r="U70" s="244"/>
    </row>
    <row r="71" spans="2:21" ht="12.5">
      <c r="B71" s="145" t="str">
        <f t="shared" si="0"/>
        <v/>
      </c>
      <c r="C71" s="496">
        <f>IF(D11="","-",+C70+1)</f>
        <v>2069</v>
      </c>
      <c r="D71" s="509">
        <f>IF(F70+SUM(E$17:E70)=D$10,F70,D$10-SUM(E$17:E70))</f>
        <v>0</v>
      </c>
      <c r="E71" s="510">
        <f t="shared" si="7"/>
        <v>0</v>
      </c>
      <c r="F71" s="511">
        <f t="shared" si="8"/>
        <v>0</v>
      </c>
      <c r="G71" s="512">
        <f t="shared" si="9"/>
        <v>0</v>
      </c>
      <c r="H71" s="478">
        <f t="shared" si="10"/>
        <v>0</v>
      </c>
      <c r="I71" s="501">
        <f t="shared" si="6"/>
        <v>0</v>
      </c>
      <c r="J71" s="501"/>
      <c r="K71" s="513"/>
      <c r="L71" s="505">
        <f t="shared" si="11"/>
        <v>0</v>
      </c>
      <c r="M71" s="513"/>
      <c r="N71" s="505">
        <f t="shared" si="4"/>
        <v>0</v>
      </c>
      <c r="O71" s="505">
        <f t="shared" si="5"/>
        <v>0</v>
      </c>
      <c r="P71" s="279"/>
      <c r="R71" s="244"/>
      <c r="S71" s="244"/>
      <c r="T71" s="244"/>
      <c r="U71" s="244"/>
    </row>
    <row r="72" spans="2:21" ht="12.5">
      <c r="B72" s="145" t="str">
        <f t="shared" si="0"/>
        <v/>
      </c>
      <c r="C72" s="496">
        <f>IF(D11="","-",+C71+1)</f>
        <v>2070</v>
      </c>
      <c r="D72" s="509">
        <f>IF(F71+SUM(E$17:E71)=D$10,F71,D$10-SUM(E$17:E71))</f>
        <v>0</v>
      </c>
      <c r="E72" s="510">
        <f t="shared" si="7"/>
        <v>0</v>
      </c>
      <c r="F72" s="511">
        <f t="shared" si="8"/>
        <v>0</v>
      </c>
      <c r="G72" s="512">
        <f t="shared" si="9"/>
        <v>0</v>
      </c>
      <c r="H72" s="478">
        <f t="shared" si="10"/>
        <v>0</v>
      </c>
      <c r="I72" s="501">
        <f t="shared" si="6"/>
        <v>0</v>
      </c>
      <c r="J72" s="501"/>
      <c r="K72" s="513"/>
      <c r="L72" s="505">
        <f t="shared" si="11"/>
        <v>0</v>
      </c>
      <c r="M72" s="513"/>
      <c r="N72" s="505">
        <f t="shared" si="4"/>
        <v>0</v>
      </c>
      <c r="O72" s="505">
        <f t="shared" si="5"/>
        <v>0</v>
      </c>
      <c r="P72" s="279"/>
      <c r="R72" s="244"/>
      <c r="S72" s="244"/>
      <c r="T72" s="244"/>
      <c r="U72" s="244"/>
    </row>
    <row r="73" spans="2:21" ht="13" thickBot="1">
      <c r="B73" s="145" t="str">
        <f t="shared" si="0"/>
        <v/>
      </c>
      <c r="C73" s="525">
        <f>IF(D11="","-",+C72+1)</f>
        <v>2071</v>
      </c>
      <c r="D73" s="509">
        <f>IF(F72+SUM(E$17:E72)=D$10,F72,D$10-SUM(E$17:E72))</f>
        <v>0</v>
      </c>
      <c r="E73" s="510">
        <f t="shared" si="7"/>
        <v>0</v>
      </c>
      <c r="F73" s="511">
        <f t="shared" si="8"/>
        <v>0</v>
      </c>
      <c r="G73" s="512">
        <f t="shared" si="9"/>
        <v>0</v>
      </c>
      <c r="H73" s="478">
        <f t="shared" si="10"/>
        <v>0</v>
      </c>
      <c r="I73" s="501">
        <f t="shared" si="6"/>
        <v>0</v>
      </c>
      <c r="J73" s="501"/>
      <c r="K73" s="531"/>
      <c r="L73" s="532">
        <f t="shared" si="11"/>
        <v>0</v>
      </c>
      <c r="M73" s="531"/>
      <c r="N73" s="532">
        <f t="shared" si="4"/>
        <v>0</v>
      </c>
      <c r="O73" s="532">
        <f t="shared" si="5"/>
        <v>0</v>
      </c>
      <c r="P73" s="279"/>
      <c r="R73" s="244"/>
      <c r="S73" s="244"/>
      <c r="T73" s="244"/>
      <c r="U73" s="244"/>
    </row>
    <row r="74" spans="2:21" ht="12.5">
      <c r="C74" s="350" t="s">
        <v>75</v>
      </c>
      <c r="D74" s="295"/>
      <c r="E74" s="295">
        <f>SUM(E17:E73)</f>
        <v>8535104</v>
      </c>
      <c r="F74" s="295"/>
      <c r="G74" s="295">
        <f>SUM(G17:G73)</f>
        <v>25240043.073745117</v>
      </c>
      <c r="H74" s="295">
        <f>SUM(H17:H73)</f>
        <v>25240043.073745117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9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1044606.9924692181</v>
      </c>
      <c r="N88" s="545">
        <f>IF(J93&lt;D11,0,VLOOKUP(J93,C17:O73,11))</f>
        <v>1044606.9924692181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1094981.3923049036</v>
      </c>
      <c r="N89" s="549">
        <f>IF(J93&lt;D11,0,VLOOKUP(J93,C100:P155,7))</f>
        <v>1094981.3923049036</v>
      </c>
      <c r="O89" s="550">
        <f>+N89-M89</f>
        <v>0</v>
      </c>
      <c r="P89" s="244"/>
      <c r="Q89" s="244"/>
      <c r="R89" s="244"/>
      <c r="S89" s="244"/>
      <c r="T89" s="244"/>
      <c r="U89" s="244"/>
    </row>
    <row r="90" spans="1:21" ht="13.5" thickBot="1">
      <c r="C90" s="455" t="s">
        <v>82</v>
      </c>
      <c r="D90" s="551" t="str">
        <f>+D7</f>
        <v>Prattville-Bluebell 138 kV</v>
      </c>
      <c r="E90" s="244"/>
      <c r="F90" s="244"/>
      <c r="G90" s="244"/>
      <c r="H90" s="244"/>
      <c r="I90" s="326"/>
      <c r="J90" s="326"/>
      <c r="K90" s="552"/>
      <c r="L90" s="553" t="s">
        <v>135</v>
      </c>
      <c r="M90" s="554">
        <f>+M89-M88</f>
        <v>50374.399835685501</v>
      </c>
      <c r="N90" s="554">
        <f>+N89-N88</f>
        <v>50374.399835685501</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622" t="str">
        <f>+D9</f>
        <v>TP2010094</v>
      </c>
      <c r="E92" s="559"/>
      <c r="F92" s="559"/>
      <c r="G92" s="559"/>
      <c r="H92" s="559"/>
      <c r="I92" s="559"/>
      <c r="J92" s="559"/>
      <c r="K92" s="561"/>
      <c r="P92" s="469"/>
      <c r="Q92" s="244"/>
      <c r="R92" s="244"/>
      <c r="S92" s="244"/>
      <c r="T92" s="244"/>
      <c r="U92" s="244"/>
    </row>
    <row r="93" spans="1:21" ht="13">
      <c r="C93" s="473" t="s">
        <v>49</v>
      </c>
      <c r="D93" s="623">
        <f>+D10</f>
        <v>8535104</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2015</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304825.14285714284</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4">IF(D100=F99,"","IU")</f>
        <v>IU</v>
      </c>
      <c r="C100" s="496">
        <f>IF(D94= "","-",D94)</f>
        <v>2015</v>
      </c>
      <c r="D100" s="613">
        <v>0</v>
      </c>
      <c r="E100" s="614">
        <v>102447.91666666666</v>
      </c>
      <c r="F100" s="615">
        <v>8327552.083333333</v>
      </c>
      <c r="G100" s="616">
        <v>4163776.0416666665</v>
      </c>
      <c r="H100" s="616">
        <v>565998.7241739725</v>
      </c>
      <c r="I100" s="616">
        <v>565998.7241739725</v>
      </c>
      <c r="J100" s="505">
        <v>0</v>
      </c>
      <c r="K100" s="505"/>
      <c r="L100" s="507">
        <f>H100</f>
        <v>565998.7241739725</v>
      </c>
      <c r="M100" s="505">
        <f>IF(L100&lt;&gt;0,+H100-L100,0)</f>
        <v>0</v>
      </c>
      <c r="N100" s="507">
        <f>I100</f>
        <v>565998.7241739725</v>
      </c>
      <c r="O100" s="504">
        <f t="shared" ref="O100:O131" si="15">IF(N100&lt;&gt;0,+I100-N100,0)</f>
        <v>0</v>
      </c>
      <c r="P100" s="504">
        <f t="shared" ref="P100:P131" si="16">+O100-M100</f>
        <v>0</v>
      </c>
      <c r="Q100" s="244"/>
      <c r="R100" s="244"/>
      <c r="S100" s="244"/>
      <c r="T100" s="244"/>
      <c r="U100" s="244"/>
    </row>
    <row r="101" spans="1:21" ht="12.5">
      <c r="B101" s="145" t="str">
        <f t="shared" si="14"/>
        <v>IU</v>
      </c>
      <c r="C101" s="496">
        <f>IF(D94="","-",+C100+1)</f>
        <v>2016</v>
      </c>
      <c r="D101" s="506">
        <v>8432656.083333334</v>
      </c>
      <c r="E101" s="499">
        <v>167354.98039215687</v>
      </c>
      <c r="F101" s="506">
        <v>8265301.1029411769</v>
      </c>
      <c r="G101" s="499">
        <v>8348978.5931372549</v>
      </c>
      <c r="H101" s="500">
        <v>1072129.2771965233</v>
      </c>
      <c r="I101" s="500">
        <v>1072129.2771965233</v>
      </c>
      <c r="J101" s="505">
        <f t="shared" ref="J101:J131" si="17">+I101-H101</f>
        <v>0</v>
      </c>
      <c r="K101" s="505"/>
      <c r="L101" s="507">
        <f>H101</f>
        <v>1072129.2771965233</v>
      </c>
      <c r="M101" s="505">
        <f>IF(L101&lt;&gt;0,+H101-L101,0)</f>
        <v>0</v>
      </c>
      <c r="N101" s="590">
        <f>I101</f>
        <v>1072129.2771965233</v>
      </c>
      <c r="O101" s="590">
        <f>IF(N101&lt;&gt;0,+I101-N101,0)</f>
        <v>0</v>
      </c>
      <c r="P101" s="505">
        <f>+O101-M101</f>
        <v>0</v>
      </c>
      <c r="Q101" s="244"/>
      <c r="R101" s="244"/>
      <c r="S101" s="244"/>
      <c r="T101" s="244"/>
      <c r="U101" s="244"/>
    </row>
    <row r="102" spans="1:21" ht="12.5">
      <c r="B102" s="145" t="str">
        <f t="shared" si="14"/>
        <v/>
      </c>
      <c r="C102" s="496">
        <f>IF(D94="","-",+C101+1)</f>
        <v>2017</v>
      </c>
      <c r="D102" s="506">
        <v>8265301.1029411769</v>
      </c>
      <c r="E102" s="499">
        <v>213377.6</v>
      </c>
      <c r="F102" s="506">
        <v>8051923.5029411772</v>
      </c>
      <c r="G102" s="499">
        <v>8158612.302941177</v>
      </c>
      <c r="H102" s="500">
        <v>1170675.4253324734</v>
      </c>
      <c r="I102" s="500">
        <v>1170675.4253324734</v>
      </c>
      <c r="J102" s="505">
        <f t="shared" si="17"/>
        <v>0</v>
      </c>
      <c r="K102" s="505"/>
      <c r="L102" s="507">
        <f>H102</f>
        <v>1170675.4253324734</v>
      </c>
      <c r="M102" s="505">
        <f>IF(L102&lt;&gt;0,+H102-L102,0)</f>
        <v>0</v>
      </c>
      <c r="N102" s="590">
        <f>I102</f>
        <v>1170675.4253324734</v>
      </c>
      <c r="O102" s="590">
        <f>IF(N102&lt;&gt;0,+I102-N102,0)</f>
        <v>0</v>
      </c>
      <c r="P102" s="505">
        <f>+O102-M102</f>
        <v>0</v>
      </c>
      <c r="Q102" s="244"/>
      <c r="R102" s="244"/>
      <c r="S102" s="244"/>
      <c r="T102" s="244"/>
      <c r="U102" s="244"/>
    </row>
    <row r="103" spans="1:21" ht="12.5">
      <c r="B103" s="145" t="str">
        <f t="shared" si="14"/>
        <v/>
      </c>
      <c r="C103" s="496">
        <f>IF(D94="","-",+C102+1)</f>
        <v>2018</v>
      </c>
      <c r="D103" s="506">
        <v>8051923.5029411772</v>
      </c>
      <c r="E103" s="499">
        <v>237086.22222222222</v>
      </c>
      <c r="F103" s="506">
        <v>7814837.2807189552</v>
      </c>
      <c r="G103" s="499">
        <v>7933380.3918300662</v>
      </c>
      <c r="H103" s="500">
        <v>1074553.2860184449</v>
      </c>
      <c r="I103" s="500">
        <v>1074553.2860184449</v>
      </c>
      <c r="J103" s="505">
        <f t="shared" si="17"/>
        <v>0</v>
      </c>
      <c r="K103" s="505"/>
      <c r="L103" s="507">
        <f>H103</f>
        <v>1074553.2860184449</v>
      </c>
      <c r="M103" s="505">
        <f>IF(L103&lt;&gt;0,+H103-L103,0)</f>
        <v>0</v>
      </c>
      <c r="N103" s="590">
        <f>I103</f>
        <v>1074553.2860184449</v>
      </c>
      <c r="O103" s="590">
        <f>IF(N103&lt;&gt;0,+I103-N103,0)</f>
        <v>0</v>
      </c>
      <c r="P103" s="505">
        <f>+O103-M103</f>
        <v>0</v>
      </c>
      <c r="Q103" s="244"/>
      <c r="R103" s="244"/>
      <c r="S103" s="244"/>
      <c r="T103" s="244"/>
      <c r="U103" s="244"/>
    </row>
    <row r="104" spans="1:21" ht="12.5">
      <c r="B104" s="145" t="str">
        <f t="shared" si="14"/>
        <v/>
      </c>
      <c r="C104" s="496">
        <f>IF(D94="","-",+C103+1)</f>
        <v>2019</v>
      </c>
      <c r="D104" s="506">
        <v>7814837.2807189552</v>
      </c>
      <c r="E104" s="499">
        <v>237086.22222222222</v>
      </c>
      <c r="F104" s="506">
        <v>7577751.0584967332</v>
      </c>
      <c r="G104" s="499">
        <v>7696294.1696078442</v>
      </c>
      <c r="H104" s="500">
        <v>1049525.8837530178</v>
      </c>
      <c r="I104" s="500">
        <v>1049525.8837530178</v>
      </c>
      <c r="J104" s="505">
        <f t="shared" si="17"/>
        <v>0</v>
      </c>
      <c r="K104" s="505"/>
      <c r="L104" s="507">
        <f>H104</f>
        <v>1049525.8837530178</v>
      </c>
      <c r="M104" s="505">
        <f>IF(L104&lt;&gt;0,+H104-L104,0)</f>
        <v>0</v>
      </c>
      <c r="N104" s="590">
        <f>I104</f>
        <v>1049525.8837530178</v>
      </c>
      <c r="O104" s="505">
        <f t="shared" si="15"/>
        <v>0</v>
      </c>
      <c r="P104" s="505">
        <f t="shared" si="16"/>
        <v>0</v>
      </c>
      <c r="Q104" s="244"/>
      <c r="R104" s="244"/>
      <c r="S104" s="244"/>
      <c r="T104" s="244"/>
      <c r="U104" s="244"/>
    </row>
    <row r="105" spans="1:21" ht="12.5">
      <c r="B105" s="145" t="str">
        <f t="shared" si="14"/>
        <v/>
      </c>
      <c r="C105" s="496">
        <f>IF(D94="","-",+C104+1)</f>
        <v>2020</v>
      </c>
      <c r="D105" s="350">
        <f>IF(F104+SUM(E$100:E104)=D$93,F104,D$93-SUM(E$100:E104))</f>
        <v>7577751.0584967332</v>
      </c>
      <c r="E105" s="510">
        <f>IF(+J97&lt;F104,J97,D105)</f>
        <v>304825.14285714284</v>
      </c>
      <c r="F105" s="511">
        <f t="shared" ref="F105:F155" si="18">+D105-E105</f>
        <v>7272925.9156395905</v>
      </c>
      <c r="G105" s="511">
        <f t="shared" ref="G105:G155" si="19">+(F105+D105)/2</f>
        <v>7425338.4870681614</v>
      </c>
      <c r="H105" s="646">
        <f>(D105+F105)/2*J$95+E105</f>
        <v>1094981.3923049036</v>
      </c>
      <c r="I105" s="573">
        <f t="shared" ref="I105:I155" si="20">+J$96*G105+E105</f>
        <v>1094981.3923049036</v>
      </c>
      <c r="J105" s="505">
        <f t="shared" si="17"/>
        <v>0</v>
      </c>
      <c r="K105" s="505"/>
      <c r="L105" s="513"/>
      <c r="M105" s="505">
        <f t="shared" ref="M105:M131" si="21">IF(L105&lt;&gt;0,+H105-L105,0)</f>
        <v>0</v>
      </c>
      <c r="N105" s="513"/>
      <c r="O105" s="505">
        <f t="shared" si="15"/>
        <v>0</v>
      </c>
      <c r="P105" s="505">
        <f t="shared" si="16"/>
        <v>0</v>
      </c>
      <c r="Q105" s="244"/>
      <c r="R105" s="244"/>
      <c r="S105" s="244"/>
      <c r="T105" s="244"/>
      <c r="U105" s="244"/>
    </row>
    <row r="106" spans="1:21" ht="12.5">
      <c r="B106" s="145" t="str">
        <f t="shared" si="14"/>
        <v/>
      </c>
      <c r="C106" s="496">
        <f>IF(D94="","-",+C105+1)</f>
        <v>2021</v>
      </c>
      <c r="D106" s="350">
        <f>IF(F105+SUM(E$100:E105)=D$93,F105,D$93-SUM(E$100:E105))</f>
        <v>7272925.9156395905</v>
      </c>
      <c r="E106" s="510">
        <f>IF(+J97&lt;F105,J97,D106)</f>
        <v>304825.14285714284</v>
      </c>
      <c r="F106" s="511">
        <f t="shared" si="18"/>
        <v>6968100.7727824477</v>
      </c>
      <c r="G106" s="511">
        <f t="shared" si="19"/>
        <v>7120513.3442110196</v>
      </c>
      <c r="H106" s="646">
        <f t="shared" ref="H106:H155" si="22">(D106+F106)/2*J$95+E106</f>
        <v>1062543.8822793534</v>
      </c>
      <c r="I106" s="573">
        <f t="shared" si="20"/>
        <v>1062543.8822793534</v>
      </c>
      <c r="J106" s="505">
        <f t="shared" si="17"/>
        <v>0</v>
      </c>
      <c r="K106" s="505"/>
      <c r="L106" s="513"/>
      <c r="M106" s="505">
        <f t="shared" si="21"/>
        <v>0</v>
      </c>
      <c r="N106" s="513"/>
      <c r="O106" s="505">
        <f t="shared" si="15"/>
        <v>0</v>
      </c>
      <c r="P106" s="505">
        <f t="shared" si="16"/>
        <v>0</v>
      </c>
      <c r="Q106" s="244"/>
      <c r="R106" s="244"/>
      <c r="S106" s="244"/>
      <c r="T106" s="244"/>
      <c r="U106" s="244"/>
    </row>
    <row r="107" spans="1:21" ht="12.5">
      <c r="B107" s="145" t="str">
        <f t="shared" si="14"/>
        <v/>
      </c>
      <c r="C107" s="496">
        <f>IF(D94="","-",+C106+1)</f>
        <v>2022</v>
      </c>
      <c r="D107" s="350">
        <f>IF(F106+SUM(E$100:E106)=D$93,F106,D$93-SUM(E$100:E106))</f>
        <v>6968100.7727824477</v>
      </c>
      <c r="E107" s="510">
        <f>IF(+J97&lt;F106,J97,D107)</f>
        <v>304825.14285714284</v>
      </c>
      <c r="F107" s="511">
        <f t="shared" si="18"/>
        <v>6663275.629925305</v>
      </c>
      <c r="G107" s="511">
        <f t="shared" si="19"/>
        <v>6815688.2013538759</v>
      </c>
      <c r="H107" s="646">
        <f t="shared" si="22"/>
        <v>1030106.3722538031</v>
      </c>
      <c r="I107" s="573">
        <f t="shared" si="20"/>
        <v>1030106.3722538031</v>
      </c>
      <c r="J107" s="505">
        <f t="shared" si="17"/>
        <v>0</v>
      </c>
      <c r="K107" s="505"/>
      <c r="L107" s="513"/>
      <c r="M107" s="505">
        <f t="shared" si="21"/>
        <v>0</v>
      </c>
      <c r="N107" s="513"/>
      <c r="O107" s="505">
        <f t="shared" si="15"/>
        <v>0</v>
      </c>
      <c r="P107" s="505">
        <f t="shared" si="16"/>
        <v>0</v>
      </c>
      <c r="Q107" s="244"/>
      <c r="R107" s="244"/>
      <c r="S107" s="244"/>
      <c r="T107" s="244"/>
      <c r="U107" s="244"/>
    </row>
    <row r="108" spans="1:21" ht="12.5">
      <c r="B108" s="145" t="str">
        <f t="shared" si="14"/>
        <v/>
      </c>
      <c r="C108" s="496">
        <f>IF(D94="","-",+C107+1)</f>
        <v>2023</v>
      </c>
      <c r="D108" s="350">
        <f>IF(F107+SUM(E$100:E107)=D$93,F107,D$93-SUM(E$100:E107))</f>
        <v>6663275.629925305</v>
      </c>
      <c r="E108" s="510">
        <f>IF(+J97&lt;F107,J97,D108)</f>
        <v>304825.14285714284</v>
      </c>
      <c r="F108" s="511">
        <f t="shared" si="18"/>
        <v>6358450.4870681623</v>
      </c>
      <c r="G108" s="511">
        <f t="shared" si="19"/>
        <v>6510863.0584967341</v>
      </c>
      <c r="H108" s="646">
        <f t="shared" si="22"/>
        <v>997668.86222825292</v>
      </c>
      <c r="I108" s="573">
        <f t="shared" si="20"/>
        <v>997668.86222825292</v>
      </c>
      <c r="J108" s="505">
        <f t="shared" si="17"/>
        <v>0</v>
      </c>
      <c r="K108" s="505"/>
      <c r="L108" s="513"/>
      <c r="M108" s="505">
        <f t="shared" si="21"/>
        <v>0</v>
      </c>
      <c r="N108" s="513"/>
      <c r="O108" s="505">
        <f t="shared" si="15"/>
        <v>0</v>
      </c>
      <c r="P108" s="505">
        <f t="shared" si="16"/>
        <v>0</v>
      </c>
      <c r="Q108" s="244"/>
      <c r="R108" s="244"/>
      <c r="S108" s="244"/>
      <c r="T108" s="244"/>
      <c r="U108" s="244"/>
    </row>
    <row r="109" spans="1:21" ht="12.5">
      <c r="B109" s="145" t="str">
        <f t="shared" si="14"/>
        <v/>
      </c>
      <c r="C109" s="496">
        <f>IF(D94="","-",+C108+1)</f>
        <v>2024</v>
      </c>
      <c r="D109" s="350">
        <f>IF(F108+SUM(E$100:E108)=D$93,F108,D$93-SUM(E$100:E108))</f>
        <v>6358450.4870681623</v>
      </c>
      <c r="E109" s="510">
        <f>IF(+J97&lt;F108,J97,D109)</f>
        <v>304825.14285714284</v>
      </c>
      <c r="F109" s="511">
        <f t="shared" si="18"/>
        <v>6053625.3442110196</v>
      </c>
      <c r="G109" s="511">
        <f t="shared" si="19"/>
        <v>6206037.9156395905</v>
      </c>
      <c r="H109" s="646">
        <f t="shared" si="22"/>
        <v>965231.35220270255</v>
      </c>
      <c r="I109" s="573">
        <f t="shared" si="20"/>
        <v>965231.35220270255</v>
      </c>
      <c r="J109" s="505">
        <f t="shared" si="17"/>
        <v>0</v>
      </c>
      <c r="K109" s="505"/>
      <c r="L109" s="513"/>
      <c r="M109" s="505">
        <f t="shared" si="21"/>
        <v>0</v>
      </c>
      <c r="N109" s="513"/>
      <c r="O109" s="505">
        <f t="shared" si="15"/>
        <v>0</v>
      </c>
      <c r="P109" s="505">
        <f t="shared" si="16"/>
        <v>0</v>
      </c>
      <c r="Q109" s="244"/>
      <c r="R109" s="244"/>
      <c r="S109" s="244"/>
      <c r="T109" s="244"/>
      <c r="U109" s="244"/>
    </row>
    <row r="110" spans="1:21" ht="12.5">
      <c r="B110" s="145" t="str">
        <f t="shared" si="14"/>
        <v/>
      </c>
      <c r="C110" s="496">
        <f>IF(D94="","-",+C109+1)</f>
        <v>2025</v>
      </c>
      <c r="D110" s="350">
        <f>IF(F109+SUM(E$100:E109)=D$93,F109,D$93-SUM(E$100:E109))</f>
        <v>6053625.3442110196</v>
      </c>
      <c r="E110" s="510">
        <f>IF(+J97&lt;F109,J97,D110)</f>
        <v>304825.14285714284</v>
      </c>
      <c r="F110" s="511">
        <f t="shared" si="18"/>
        <v>5748800.2013538769</v>
      </c>
      <c r="G110" s="511">
        <f t="shared" si="19"/>
        <v>5901212.7727824487</v>
      </c>
      <c r="H110" s="646">
        <f t="shared" si="22"/>
        <v>932793.8421771524</v>
      </c>
      <c r="I110" s="573">
        <f t="shared" si="20"/>
        <v>932793.8421771524</v>
      </c>
      <c r="J110" s="505">
        <f t="shared" si="17"/>
        <v>0</v>
      </c>
      <c r="K110" s="505"/>
      <c r="L110" s="513"/>
      <c r="M110" s="505">
        <f t="shared" si="21"/>
        <v>0</v>
      </c>
      <c r="N110" s="513"/>
      <c r="O110" s="505">
        <f t="shared" si="15"/>
        <v>0</v>
      </c>
      <c r="P110" s="505">
        <f t="shared" si="16"/>
        <v>0</v>
      </c>
      <c r="Q110" s="244"/>
      <c r="R110" s="244"/>
      <c r="S110" s="244"/>
      <c r="T110" s="244"/>
      <c r="U110" s="244"/>
    </row>
    <row r="111" spans="1:21" ht="12.5">
      <c r="B111" s="145" t="str">
        <f t="shared" si="14"/>
        <v/>
      </c>
      <c r="C111" s="496">
        <f>IF(D94="","-",+C110+1)</f>
        <v>2026</v>
      </c>
      <c r="D111" s="350">
        <f>IF(F110+SUM(E$100:E110)=D$93,F110,D$93-SUM(E$100:E110))</f>
        <v>5748800.2013538769</v>
      </c>
      <c r="E111" s="510">
        <f>IF(+J97&lt;F110,J97,D111)</f>
        <v>304825.14285714284</v>
      </c>
      <c r="F111" s="511">
        <f t="shared" si="18"/>
        <v>5443975.0584967341</v>
      </c>
      <c r="G111" s="511">
        <f t="shared" si="19"/>
        <v>5596387.629925305</v>
      </c>
      <c r="H111" s="646">
        <f t="shared" si="22"/>
        <v>900356.33215160202</v>
      </c>
      <c r="I111" s="573">
        <f t="shared" si="20"/>
        <v>900356.33215160202</v>
      </c>
      <c r="J111" s="505">
        <f t="shared" si="17"/>
        <v>0</v>
      </c>
      <c r="K111" s="505"/>
      <c r="L111" s="513"/>
      <c r="M111" s="505">
        <f t="shared" si="21"/>
        <v>0</v>
      </c>
      <c r="N111" s="513"/>
      <c r="O111" s="505">
        <f t="shared" si="15"/>
        <v>0</v>
      </c>
      <c r="P111" s="505">
        <f t="shared" si="16"/>
        <v>0</v>
      </c>
      <c r="Q111" s="244"/>
      <c r="R111" s="244"/>
      <c r="S111" s="244"/>
      <c r="T111" s="244"/>
      <c r="U111" s="244"/>
    </row>
    <row r="112" spans="1:21" ht="12.5">
      <c r="B112" s="145" t="str">
        <f t="shared" si="14"/>
        <v/>
      </c>
      <c r="C112" s="496">
        <f>IF(D94="","-",+C111+1)</f>
        <v>2027</v>
      </c>
      <c r="D112" s="350">
        <f>IF(F111+SUM(E$100:E111)=D$93,F111,D$93-SUM(E$100:E111))</f>
        <v>5443975.0584967341</v>
      </c>
      <c r="E112" s="510">
        <f>IF(+J97&lt;F111,J97,D112)</f>
        <v>304825.14285714284</v>
      </c>
      <c r="F112" s="511">
        <f t="shared" si="18"/>
        <v>5139149.9156395914</v>
      </c>
      <c r="G112" s="511">
        <f t="shared" si="19"/>
        <v>5291562.4870681632</v>
      </c>
      <c r="H112" s="646">
        <f t="shared" si="22"/>
        <v>867918.82212605176</v>
      </c>
      <c r="I112" s="573">
        <f t="shared" si="20"/>
        <v>867918.82212605176</v>
      </c>
      <c r="J112" s="505">
        <f t="shared" si="17"/>
        <v>0</v>
      </c>
      <c r="K112" s="505"/>
      <c r="L112" s="513"/>
      <c r="M112" s="505">
        <f t="shared" si="21"/>
        <v>0</v>
      </c>
      <c r="N112" s="513"/>
      <c r="O112" s="505">
        <f t="shared" si="15"/>
        <v>0</v>
      </c>
      <c r="P112" s="505">
        <f t="shared" si="16"/>
        <v>0</v>
      </c>
      <c r="Q112" s="244"/>
      <c r="R112" s="244"/>
      <c r="S112" s="244"/>
      <c r="T112" s="244"/>
      <c r="U112" s="244"/>
    </row>
    <row r="113" spans="2:21" ht="12.5">
      <c r="B113" s="145" t="str">
        <f t="shared" si="14"/>
        <v/>
      </c>
      <c r="C113" s="496">
        <f>IF(D94="","-",+C112+1)</f>
        <v>2028</v>
      </c>
      <c r="D113" s="350">
        <f>IF(F112+SUM(E$100:E112)=D$93,F112,D$93-SUM(E$100:E112))</f>
        <v>5139149.9156395914</v>
      </c>
      <c r="E113" s="510">
        <f>IF(+J97&lt;F112,J97,D113)</f>
        <v>304825.14285714284</v>
      </c>
      <c r="F113" s="511">
        <f t="shared" si="18"/>
        <v>4834324.7727824487</v>
      </c>
      <c r="G113" s="511">
        <f t="shared" si="19"/>
        <v>4986737.3442110196</v>
      </c>
      <c r="H113" s="646">
        <f t="shared" si="22"/>
        <v>835481.31210050138</v>
      </c>
      <c r="I113" s="573">
        <f t="shared" si="20"/>
        <v>835481.31210050138</v>
      </c>
      <c r="J113" s="505">
        <f t="shared" si="17"/>
        <v>0</v>
      </c>
      <c r="K113" s="505"/>
      <c r="L113" s="513"/>
      <c r="M113" s="505">
        <f t="shared" si="21"/>
        <v>0</v>
      </c>
      <c r="N113" s="513"/>
      <c r="O113" s="505">
        <f t="shared" si="15"/>
        <v>0</v>
      </c>
      <c r="P113" s="505">
        <f t="shared" si="16"/>
        <v>0</v>
      </c>
      <c r="Q113" s="244"/>
      <c r="R113" s="244"/>
      <c r="S113" s="244"/>
      <c r="T113" s="244"/>
      <c r="U113" s="244"/>
    </row>
    <row r="114" spans="2:21" ht="12.5">
      <c r="B114" s="145" t="str">
        <f t="shared" si="14"/>
        <v/>
      </c>
      <c r="C114" s="496">
        <f>IF(D94="","-",+C113+1)</f>
        <v>2029</v>
      </c>
      <c r="D114" s="350">
        <f>IF(F113+SUM(E$100:E113)=D$93,F113,D$93-SUM(E$100:E113))</f>
        <v>4834324.7727824487</v>
      </c>
      <c r="E114" s="510">
        <f>IF(+J97&lt;F113,J97,D114)</f>
        <v>304825.14285714284</v>
      </c>
      <c r="F114" s="511">
        <f t="shared" si="18"/>
        <v>4529499.629925306</v>
      </c>
      <c r="G114" s="511">
        <f t="shared" si="19"/>
        <v>4681912.2013538778</v>
      </c>
      <c r="H114" s="646">
        <f t="shared" si="22"/>
        <v>803043.80207495124</v>
      </c>
      <c r="I114" s="573">
        <f t="shared" si="20"/>
        <v>803043.80207495124</v>
      </c>
      <c r="J114" s="505">
        <f t="shared" si="17"/>
        <v>0</v>
      </c>
      <c r="K114" s="505"/>
      <c r="L114" s="513"/>
      <c r="M114" s="505">
        <f t="shared" si="21"/>
        <v>0</v>
      </c>
      <c r="N114" s="513"/>
      <c r="O114" s="505">
        <f t="shared" si="15"/>
        <v>0</v>
      </c>
      <c r="P114" s="505">
        <f t="shared" si="16"/>
        <v>0</v>
      </c>
      <c r="Q114" s="244"/>
      <c r="R114" s="244"/>
      <c r="S114" s="244"/>
      <c r="T114" s="244"/>
      <c r="U114" s="244"/>
    </row>
    <row r="115" spans="2:21" ht="12.5">
      <c r="B115" s="145" t="str">
        <f t="shared" si="14"/>
        <v/>
      </c>
      <c r="C115" s="496">
        <f>IF(D94="","-",+C114+1)</f>
        <v>2030</v>
      </c>
      <c r="D115" s="350">
        <f>IF(F114+SUM(E$100:E114)=D$93,F114,D$93-SUM(E$100:E114))</f>
        <v>4529499.629925306</v>
      </c>
      <c r="E115" s="510">
        <f>IF(+J97&lt;F114,J97,D115)</f>
        <v>304825.14285714284</v>
      </c>
      <c r="F115" s="511">
        <f t="shared" si="18"/>
        <v>4224674.4870681632</v>
      </c>
      <c r="G115" s="511">
        <f t="shared" si="19"/>
        <v>4377087.0584967341</v>
      </c>
      <c r="H115" s="646">
        <f t="shared" si="22"/>
        <v>770606.29204940097</v>
      </c>
      <c r="I115" s="573">
        <f t="shared" si="20"/>
        <v>770606.29204940097</v>
      </c>
      <c r="J115" s="505">
        <f t="shared" si="17"/>
        <v>0</v>
      </c>
      <c r="K115" s="505"/>
      <c r="L115" s="513"/>
      <c r="M115" s="505">
        <f t="shared" si="21"/>
        <v>0</v>
      </c>
      <c r="N115" s="513"/>
      <c r="O115" s="505">
        <f t="shared" si="15"/>
        <v>0</v>
      </c>
      <c r="P115" s="505">
        <f t="shared" si="16"/>
        <v>0</v>
      </c>
      <c r="Q115" s="244"/>
      <c r="R115" s="244"/>
      <c r="S115" s="244"/>
      <c r="T115" s="244"/>
      <c r="U115" s="244"/>
    </row>
    <row r="116" spans="2:21" ht="12.5">
      <c r="B116" s="145" t="str">
        <f t="shared" si="14"/>
        <v/>
      </c>
      <c r="C116" s="496">
        <f>IF(D94="","-",+C115+1)</f>
        <v>2031</v>
      </c>
      <c r="D116" s="350">
        <f>IF(F115+SUM(E$100:E115)=D$93,F115,D$93-SUM(E$100:E115))</f>
        <v>4224674.4870681632</v>
      </c>
      <c r="E116" s="510">
        <f>IF(+J97&lt;F115,J97,D116)</f>
        <v>304825.14285714284</v>
      </c>
      <c r="F116" s="511">
        <f t="shared" si="18"/>
        <v>3919849.3442110205</v>
      </c>
      <c r="G116" s="511">
        <f t="shared" si="19"/>
        <v>4072261.9156395919</v>
      </c>
      <c r="H116" s="646">
        <f t="shared" si="22"/>
        <v>738168.7820238506</v>
      </c>
      <c r="I116" s="573">
        <f t="shared" si="20"/>
        <v>738168.7820238506</v>
      </c>
      <c r="J116" s="505">
        <f t="shared" si="17"/>
        <v>0</v>
      </c>
      <c r="K116" s="505"/>
      <c r="L116" s="513"/>
      <c r="M116" s="505">
        <f t="shared" si="21"/>
        <v>0</v>
      </c>
      <c r="N116" s="513"/>
      <c r="O116" s="505">
        <f t="shared" si="15"/>
        <v>0</v>
      </c>
      <c r="P116" s="505">
        <f t="shared" si="16"/>
        <v>0</v>
      </c>
      <c r="Q116" s="244"/>
      <c r="R116" s="244"/>
      <c r="S116" s="244"/>
      <c r="T116" s="244"/>
      <c r="U116" s="244"/>
    </row>
    <row r="117" spans="2:21" ht="12.5">
      <c r="B117" s="145" t="str">
        <f t="shared" si="14"/>
        <v/>
      </c>
      <c r="C117" s="496">
        <f>IF(D94="","-",+C116+1)</f>
        <v>2032</v>
      </c>
      <c r="D117" s="350">
        <f>IF(F116+SUM(E$100:E116)=D$93,F116,D$93-SUM(E$100:E116))</f>
        <v>3919849.3442110205</v>
      </c>
      <c r="E117" s="510">
        <f>IF(+J97&lt;F116,J97,D117)</f>
        <v>304825.14285714284</v>
      </c>
      <c r="F117" s="511">
        <f t="shared" si="18"/>
        <v>3615024.2013538778</v>
      </c>
      <c r="G117" s="511">
        <f t="shared" si="19"/>
        <v>3767436.7727824491</v>
      </c>
      <c r="H117" s="646">
        <f t="shared" si="22"/>
        <v>705731.27199830045</v>
      </c>
      <c r="I117" s="573">
        <f t="shared" si="20"/>
        <v>705731.27199830045</v>
      </c>
      <c r="J117" s="505">
        <f t="shared" si="17"/>
        <v>0</v>
      </c>
      <c r="K117" s="505"/>
      <c r="L117" s="513"/>
      <c r="M117" s="505">
        <f t="shared" si="21"/>
        <v>0</v>
      </c>
      <c r="N117" s="513"/>
      <c r="O117" s="505">
        <f t="shared" si="15"/>
        <v>0</v>
      </c>
      <c r="P117" s="505">
        <f t="shared" si="16"/>
        <v>0</v>
      </c>
      <c r="Q117" s="244"/>
      <c r="R117" s="244"/>
      <c r="S117" s="244"/>
      <c r="T117" s="244"/>
      <c r="U117" s="244"/>
    </row>
    <row r="118" spans="2:21" ht="12.5">
      <c r="B118" s="145" t="str">
        <f t="shared" si="14"/>
        <v/>
      </c>
      <c r="C118" s="496">
        <f>IF(D94="","-",+C117+1)</f>
        <v>2033</v>
      </c>
      <c r="D118" s="350">
        <f>IF(F117+SUM(E$100:E117)=D$93,F117,D$93-SUM(E$100:E117))</f>
        <v>3615024.2013538778</v>
      </c>
      <c r="E118" s="510">
        <f>IF(+J97&lt;F117,J97,D118)</f>
        <v>304825.14285714284</v>
      </c>
      <c r="F118" s="511">
        <f t="shared" si="18"/>
        <v>3310199.0584967351</v>
      </c>
      <c r="G118" s="511">
        <f t="shared" si="19"/>
        <v>3462611.6299253064</v>
      </c>
      <c r="H118" s="646">
        <f t="shared" si="22"/>
        <v>673293.76197275007</v>
      </c>
      <c r="I118" s="573">
        <f t="shared" si="20"/>
        <v>673293.76197275007</v>
      </c>
      <c r="J118" s="505">
        <f t="shared" si="17"/>
        <v>0</v>
      </c>
      <c r="K118" s="505"/>
      <c r="L118" s="513"/>
      <c r="M118" s="505">
        <f t="shared" si="21"/>
        <v>0</v>
      </c>
      <c r="N118" s="513"/>
      <c r="O118" s="505">
        <f t="shared" si="15"/>
        <v>0</v>
      </c>
      <c r="P118" s="505">
        <f t="shared" si="16"/>
        <v>0</v>
      </c>
      <c r="Q118" s="244"/>
      <c r="R118" s="244"/>
      <c r="S118" s="244"/>
      <c r="T118" s="244"/>
      <c r="U118" s="244"/>
    </row>
    <row r="119" spans="2:21" ht="12.5">
      <c r="B119" s="145" t="str">
        <f t="shared" si="14"/>
        <v/>
      </c>
      <c r="C119" s="496">
        <f>IF(D94="","-",+C118+1)</f>
        <v>2034</v>
      </c>
      <c r="D119" s="350">
        <f>IF(F118+SUM(E$100:E118)=D$93,F118,D$93-SUM(E$100:E118))</f>
        <v>3310199.0584967351</v>
      </c>
      <c r="E119" s="510">
        <f>IF(+J97&lt;F118,J97,D119)</f>
        <v>304825.14285714284</v>
      </c>
      <c r="F119" s="511">
        <f t="shared" si="18"/>
        <v>3005373.9156395923</v>
      </c>
      <c r="G119" s="511">
        <f t="shared" si="19"/>
        <v>3157786.4870681637</v>
      </c>
      <c r="H119" s="646">
        <f t="shared" si="22"/>
        <v>640856.25194719993</v>
      </c>
      <c r="I119" s="573">
        <f t="shared" si="20"/>
        <v>640856.25194719993</v>
      </c>
      <c r="J119" s="505">
        <f t="shared" si="17"/>
        <v>0</v>
      </c>
      <c r="K119" s="505"/>
      <c r="L119" s="513"/>
      <c r="M119" s="505">
        <f t="shared" si="21"/>
        <v>0</v>
      </c>
      <c r="N119" s="513"/>
      <c r="O119" s="505">
        <f t="shared" si="15"/>
        <v>0</v>
      </c>
      <c r="P119" s="505">
        <f t="shared" si="16"/>
        <v>0</v>
      </c>
      <c r="Q119" s="244"/>
      <c r="R119" s="244"/>
      <c r="S119" s="244"/>
      <c r="T119" s="244"/>
      <c r="U119" s="244"/>
    </row>
    <row r="120" spans="2:21" ht="12.5">
      <c r="B120" s="145" t="str">
        <f t="shared" si="14"/>
        <v/>
      </c>
      <c r="C120" s="496">
        <f>IF(D94="","-",+C119+1)</f>
        <v>2035</v>
      </c>
      <c r="D120" s="350">
        <f>IF(F119+SUM(E$100:E119)=D$93,F119,D$93-SUM(E$100:E119))</f>
        <v>3005373.9156395923</v>
      </c>
      <c r="E120" s="510">
        <f>IF(+J97&lt;F119,J97,D120)</f>
        <v>304825.14285714284</v>
      </c>
      <c r="F120" s="511">
        <f t="shared" si="18"/>
        <v>2700548.7727824496</v>
      </c>
      <c r="G120" s="511">
        <f t="shared" si="19"/>
        <v>2852961.344211021</v>
      </c>
      <c r="H120" s="646">
        <f t="shared" si="22"/>
        <v>608418.74192164955</v>
      </c>
      <c r="I120" s="573">
        <f t="shared" si="20"/>
        <v>608418.74192164955</v>
      </c>
      <c r="J120" s="505">
        <f t="shared" si="17"/>
        <v>0</v>
      </c>
      <c r="K120" s="505"/>
      <c r="L120" s="513"/>
      <c r="M120" s="505">
        <f t="shared" si="21"/>
        <v>0</v>
      </c>
      <c r="N120" s="513"/>
      <c r="O120" s="505">
        <f t="shared" si="15"/>
        <v>0</v>
      </c>
      <c r="P120" s="505">
        <f t="shared" si="16"/>
        <v>0</v>
      </c>
      <c r="Q120" s="244"/>
      <c r="R120" s="244"/>
      <c r="S120" s="244"/>
      <c r="T120" s="244"/>
      <c r="U120" s="244"/>
    </row>
    <row r="121" spans="2:21" ht="12.5">
      <c r="B121" s="145" t="str">
        <f t="shared" si="14"/>
        <v/>
      </c>
      <c r="C121" s="496">
        <f>IF(D94="","-",+C120+1)</f>
        <v>2036</v>
      </c>
      <c r="D121" s="350">
        <f>IF(F120+SUM(E$100:E120)=D$93,F120,D$93-SUM(E$100:E120))</f>
        <v>2700548.7727824496</v>
      </c>
      <c r="E121" s="510">
        <f>IF(+J97&lt;F120,J97,D121)</f>
        <v>304825.14285714284</v>
      </c>
      <c r="F121" s="511">
        <f t="shared" si="18"/>
        <v>2395723.6299253069</v>
      </c>
      <c r="G121" s="511">
        <f t="shared" si="19"/>
        <v>2548136.2013538782</v>
      </c>
      <c r="H121" s="646">
        <f t="shared" si="22"/>
        <v>575981.23189609929</v>
      </c>
      <c r="I121" s="573">
        <f t="shared" si="20"/>
        <v>575981.23189609929</v>
      </c>
      <c r="J121" s="505">
        <f t="shared" si="17"/>
        <v>0</v>
      </c>
      <c r="K121" s="505"/>
      <c r="L121" s="513"/>
      <c r="M121" s="505">
        <f t="shared" si="21"/>
        <v>0</v>
      </c>
      <c r="N121" s="513"/>
      <c r="O121" s="505">
        <f t="shared" si="15"/>
        <v>0</v>
      </c>
      <c r="P121" s="505">
        <f t="shared" si="16"/>
        <v>0</v>
      </c>
      <c r="Q121" s="244"/>
      <c r="R121" s="244"/>
      <c r="S121" s="244"/>
      <c r="T121" s="244"/>
      <c r="U121" s="244"/>
    </row>
    <row r="122" spans="2:21" ht="12.5">
      <c r="B122" s="145" t="str">
        <f t="shared" si="14"/>
        <v/>
      </c>
      <c r="C122" s="496">
        <f>IF(D94="","-",+C121+1)</f>
        <v>2037</v>
      </c>
      <c r="D122" s="350">
        <f>IF(F121+SUM(E$100:E121)=D$93,F121,D$93-SUM(E$100:E121))</f>
        <v>2395723.6299253069</v>
      </c>
      <c r="E122" s="510">
        <f>IF(+J97&lt;F121,J97,D122)</f>
        <v>304825.14285714284</v>
      </c>
      <c r="F122" s="511">
        <f t="shared" si="18"/>
        <v>2090898.4870681642</v>
      </c>
      <c r="G122" s="511">
        <f t="shared" si="19"/>
        <v>2243311.0584967355</v>
      </c>
      <c r="H122" s="646">
        <f t="shared" si="22"/>
        <v>543543.72187054902</v>
      </c>
      <c r="I122" s="573">
        <f t="shared" si="20"/>
        <v>543543.72187054902</v>
      </c>
      <c r="J122" s="505">
        <f t="shared" si="17"/>
        <v>0</v>
      </c>
      <c r="K122" s="505"/>
      <c r="L122" s="513"/>
      <c r="M122" s="505">
        <f t="shared" si="21"/>
        <v>0</v>
      </c>
      <c r="N122" s="513"/>
      <c r="O122" s="505">
        <f t="shared" si="15"/>
        <v>0</v>
      </c>
      <c r="P122" s="505">
        <f t="shared" si="16"/>
        <v>0</v>
      </c>
      <c r="Q122" s="244"/>
      <c r="R122" s="244"/>
      <c r="S122" s="244"/>
      <c r="T122" s="244"/>
      <c r="U122" s="244"/>
    </row>
    <row r="123" spans="2:21" ht="12.5">
      <c r="B123" s="145" t="str">
        <f t="shared" si="14"/>
        <v/>
      </c>
      <c r="C123" s="496">
        <f>IF(D94="","-",+C122+1)</f>
        <v>2038</v>
      </c>
      <c r="D123" s="350">
        <f>IF(F122+SUM(E$100:E122)=D$93,F122,D$93-SUM(E$100:E122))</f>
        <v>2090898.4870681642</v>
      </c>
      <c r="E123" s="510">
        <f>IF(+J97&lt;F122,J97,D123)</f>
        <v>304825.14285714284</v>
      </c>
      <c r="F123" s="511">
        <f t="shared" si="18"/>
        <v>1786073.3442110214</v>
      </c>
      <c r="G123" s="511">
        <f t="shared" si="19"/>
        <v>1938485.9156395928</v>
      </c>
      <c r="H123" s="646">
        <f t="shared" si="22"/>
        <v>511106.21184499876</v>
      </c>
      <c r="I123" s="573">
        <f t="shared" si="20"/>
        <v>511106.21184499876</v>
      </c>
      <c r="J123" s="505">
        <f t="shared" si="17"/>
        <v>0</v>
      </c>
      <c r="K123" s="505"/>
      <c r="L123" s="513"/>
      <c r="M123" s="505">
        <f t="shared" si="21"/>
        <v>0</v>
      </c>
      <c r="N123" s="513"/>
      <c r="O123" s="505">
        <f t="shared" si="15"/>
        <v>0</v>
      </c>
      <c r="P123" s="505">
        <f t="shared" si="16"/>
        <v>0</v>
      </c>
      <c r="Q123" s="244"/>
      <c r="R123" s="244"/>
      <c r="S123" s="244"/>
      <c r="T123" s="244"/>
      <c r="U123" s="244"/>
    </row>
    <row r="124" spans="2:21" ht="12.5">
      <c r="B124" s="145" t="str">
        <f t="shared" si="14"/>
        <v/>
      </c>
      <c r="C124" s="496">
        <f>IF(D94="","-",+C123+1)</f>
        <v>2039</v>
      </c>
      <c r="D124" s="350">
        <f>IF(F123+SUM(E$100:E123)=D$93,F123,D$93-SUM(E$100:E123))</f>
        <v>1786073.3442110214</v>
      </c>
      <c r="E124" s="510">
        <f>IF(+J97&lt;F123,J97,D124)</f>
        <v>304825.14285714284</v>
      </c>
      <c r="F124" s="511">
        <f t="shared" si="18"/>
        <v>1481248.2013538787</v>
      </c>
      <c r="G124" s="511">
        <f t="shared" si="19"/>
        <v>1633660.7727824501</v>
      </c>
      <c r="H124" s="646">
        <f t="shared" si="22"/>
        <v>478668.7018194485</v>
      </c>
      <c r="I124" s="573">
        <f t="shared" si="20"/>
        <v>478668.7018194485</v>
      </c>
      <c r="J124" s="505">
        <f t="shared" si="17"/>
        <v>0</v>
      </c>
      <c r="K124" s="505"/>
      <c r="L124" s="513"/>
      <c r="M124" s="505">
        <f t="shared" si="21"/>
        <v>0</v>
      </c>
      <c r="N124" s="513"/>
      <c r="O124" s="505">
        <f t="shared" si="15"/>
        <v>0</v>
      </c>
      <c r="P124" s="505">
        <f t="shared" si="16"/>
        <v>0</v>
      </c>
      <c r="Q124" s="244"/>
      <c r="R124" s="244"/>
      <c r="S124" s="244"/>
      <c r="T124" s="244"/>
      <c r="U124" s="244"/>
    </row>
    <row r="125" spans="2:21" ht="12.5">
      <c r="B125" s="145" t="str">
        <f t="shared" si="14"/>
        <v/>
      </c>
      <c r="C125" s="496">
        <f>IF(D94="","-",+C124+1)</f>
        <v>2040</v>
      </c>
      <c r="D125" s="350">
        <f>IF(F124+SUM(E$100:E124)=D$93,F124,D$93-SUM(E$100:E124))</f>
        <v>1481248.2013538787</v>
      </c>
      <c r="E125" s="510">
        <f>IF(+J97&lt;F124,J97,D125)</f>
        <v>304825.14285714284</v>
      </c>
      <c r="F125" s="511">
        <f t="shared" si="18"/>
        <v>1176423.058496736</v>
      </c>
      <c r="G125" s="511">
        <f t="shared" si="19"/>
        <v>1328835.6299253074</v>
      </c>
      <c r="H125" s="646">
        <f t="shared" si="22"/>
        <v>446231.19179389824</v>
      </c>
      <c r="I125" s="573">
        <f t="shared" si="20"/>
        <v>446231.19179389824</v>
      </c>
      <c r="J125" s="505">
        <f t="shared" si="17"/>
        <v>0</v>
      </c>
      <c r="K125" s="505"/>
      <c r="L125" s="513"/>
      <c r="M125" s="505">
        <f t="shared" si="21"/>
        <v>0</v>
      </c>
      <c r="N125" s="513"/>
      <c r="O125" s="505">
        <f t="shared" si="15"/>
        <v>0</v>
      </c>
      <c r="P125" s="505">
        <f t="shared" si="16"/>
        <v>0</v>
      </c>
      <c r="Q125" s="244"/>
      <c r="R125" s="244"/>
      <c r="S125" s="244"/>
      <c r="T125" s="244"/>
      <c r="U125" s="244"/>
    </row>
    <row r="126" spans="2:21" ht="12.5">
      <c r="B126" s="145" t="str">
        <f t="shared" si="14"/>
        <v/>
      </c>
      <c r="C126" s="496">
        <f>IF(D94="","-",+C125+1)</f>
        <v>2041</v>
      </c>
      <c r="D126" s="350">
        <f>IF(F125+SUM(E$100:E125)=D$93,F125,D$93-SUM(E$100:E125))</f>
        <v>1176423.058496736</v>
      </c>
      <c r="E126" s="510">
        <f>IF(+J97&lt;F125,J97,D126)</f>
        <v>304825.14285714284</v>
      </c>
      <c r="F126" s="511">
        <f t="shared" si="18"/>
        <v>871597.91563959315</v>
      </c>
      <c r="G126" s="511">
        <f t="shared" si="19"/>
        <v>1024010.4870681646</v>
      </c>
      <c r="H126" s="646">
        <f t="shared" si="22"/>
        <v>413793.68176834792</v>
      </c>
      <c r="I126" s="573">
        <f t="shared" si="20"/>
        <v>413793.68176834792</v>
      </c>
      <c r="J126" s="505">
        <f t="shared" si="17"/>
        <v>0</v>
      </c>
      <c r="K126" s="505"/>
      <c r="L126" s="513"/>
      <c r="M126" s="505">
        <f t="shared" si="21"/>
        <v>0</v>
      </c>
      <c r="N126" s="513"/>
      <c r="O126" s="505">
        <f t="shared" si="15"/>
        <v>0</v>
      </c>
      <c r="P126" s="505">
        <f t="shared" si="16"/>
        <v>0</v>
      </c>
      <c r="Q126" s="244"/>
      <c r="R126" s="244"/>
      <c r="S126" s="244"/>
      <c r="T126" s="244"/>
      <c r="U126" s="244"/>
    </row>
    <row r="127" spans="2:21" ht="12.5">
      <c r="B127" s="145" t="str">
        <f t="shared" si="14"/>
        <v/>
      </c>
      <c r="C127" s="496">
        <f>IF(D94="","-",+C126+1)</f>
        <v>2042</v>
      </c>
      <c r="D127" s="350">
        <f>IF(F126+SUM(E$100:E126)=D$93,F126,D$93-SUM(E$100:E126))</f>
        <v>871597.91563959315</v>
      </c>
      <c r="E127" s="510">
        <f>IF(+J97&lt;F126,J97,D127)</f>
        <v>304825.14285714284</v>
      </c>
      <c r="F127" s="511">
        <f t="shared" si="18"/>
        <v>566772.77278245031</v>
      </c>
      <c r="G127" s="511">
        <f t="shared" si="19"/>
        <v>719185.34421102167</v>
      </c>
      <c r="H127" s="646">
        <f t="shared" si="22"/>
        <v>381356.17174279765</v>
      </c>
      <c r="I127" s="573">
        <f t="shared" si="20"/>
        <v>381356.17174279765</v>
      </c>
      <c r="J127" s="505">
        <f t="shared" si="17"/>
        <v>0</v>
      </c>
      <c r="K127" s="505"/>
      <c r="L127" s="513"/>
      <c r="M127" s="505">
        <f t="shared" si="21"/>
        <v>0</v>
      </c>
      <c r="N127" s="513"/>
      <c r="O127" s="505">
        <f t="shared" si="15"/>
        <v>0</v>
      </c>
      <c r="P127" s="505">
        <f t="shared" si="16"/>
        <v>0</v>
      </c>
      <c r="Q127" s="244"/>
      <c r="R127" s="244"/>
      <c r="S127" s="244"/>
      <c r="T127" s="244"/>
      <c r="U127" s="244"/>
    </row>
    <row r="128" spans="2:21" ht="12.5">
      <c r="B128" s="145" t="str">
        <f t="shared" si="14"/>
        <v/>
      </c>
      <c r="C128" s="496">
        <f>IF(D94="","-",+C127+1)</f>
        <v>2043</v>
      </c>
      <c r="D128" s="350">
        <f>IF(F127+SUM(E$100:E127)=D$93,F127,D$93-SUM(E$100:E127))</f>
        <v>566772.77278245031</v>
      </c>
      <c r="E128" s="510">
        <f>IF(+J97&lt;F127,J97,D128)</f>
        <v>304825.14285714284</v>
      </c>
      <c r="F128" s="511">
        <f t="shared" si="18"/>
        <v>261947.62992530747</v>
      </c>
      <c r="G128" s="511">
        <f t="shared" si="19"/>
        <v>414360.20135387889</v>
      </c>
      <c r="H128" s="646">
        <f t="shared" si="22"/>
        <v>348918.66171724733</v>
      </c>
      <c r="I128" s="573">
        <f t="shared" si="20"/>
        <v>348918.66171724733</v>
      </c>
      <c r="J128" s="505">
        <f t="shared" si="17"/>
        <v>0</v>
      </c>
      <c r="K128" s="505"/>
      <c r="L128" s="513"/>
      <c r="M128" s="505">
        <f t="shared" si="21"/>
        <v>0</v>
      </c>
      <c r="N128" s="513"/>
      <c r="O128" s="505">
        <f t="shared" si="15"/>
        <v>0</v>
      </c>
      <c r="P128" s="505">
        <f t="shared" si="16"/>
        <v>0</v>
      </c>
      <c r="Q128" s="244"/>
      <c r="R128" s="244"/>
      <c r="S128" s="244"/>
      <c r="T128" s="244"/>
      <c r="U128" s="244"/>
    </row>
    <row r="129" spans="2:21" ht="12.5">
      <c r="B129" s="145" t="str">
        <f t="shared" si="14"/>
        <v/>
      </c>
      <c r="C129" s="496">
        <f>IF(D94="","-",+C128+1)</f>
        <v>2044</v>
      </c>
      <c r="D129" s="350">
        <f>IF(F128+SUM(E$100:E128)=D$93,F128,D$93-SUM(E$100:E128))</f>
        <v>261947.62992530747</v>
      </c>
      <c r="E129" s="510">
        <f>IF(+J97&lt;F128,J97,D129)</f>
        <v>261947.62992530747</v>
      </c>
      <c r="F129" s="511">
        <f t="shared" si="18"/>
        <v>0</v>
      </c>
      <c r="G129" s="511">
        <f t="shared" si="19"/>
        <v>130973.81496265373</v>
      </c>
      <c r="H129" s="646">
        <f t="shared" si="22"/>
        <v>275885.01184897218</v>
      </c>
      <c r="I129" s="573">
        <f t="shared" si="20"/>
        <v>275885.01184897218</v>
      </c>
      <c r="J129" s="505">
        <f t="shared" si="17"/>
        <v>0</v>
      </c>
      <c r="K129" s="505"/>
      <c r="L129" s="513"/>
      <c r="M129" s="505">
        <f t="shared" si="21"/>
        <v>0</v>
      </c>
      <c r="N129" s="513"/>
      <c r="O129" s="505">
        <f t="shared" si="15"/>
        <v>0</v>
      </c>
      <c r="P129" s="505">
        <f t="shared" si="16"/>
        <v>0</v>
      </c>
      <c r="Q129" s="244"/>
      <c r="R129" s="244"/>
      <c r="S129" s="244"/>
      <c r="T129" s="244"/>
      <c r="U129" s="244"/>
    </row>
    <row r="130" spans="2:21" ht="12.5">
      <c r="B130" s="145" t="str">
        <f t="shared" si="14"/>
        <v/>
      </c>
      <c r="C130" s="496">
        <f>IF(D94="","-",+C129+1)</f>
        <v>2045</v>
      </c>
      <c r="D130" s="350">
        <f>IF(F129+SUM(E$100:E129)=D$93,F129,D$93-SUM(E$100:E129))</f>
        <v>0</v>
      </c>
      <c r="E130" s="510">
        <f>IF(+J97&lt;F129,J97,D130)</f>
        <v>0</v>
      </c>
      <c r="F130" s="511">
        <f t="shared" si="18"/>
        <v>0</v>
      </c>
      <c r="G130" s="511">
        <f t="shared" si="19"/>
        <v>0</v>
      </c>
      <c r="H130" s="646">
        <f t="shared" si="22"/>
        <v>0</v>
      </c>
      <c r="I130" s="573">
        <f t="shared" si="20"/>
        <v>0</v>
      </c>
      <c r="J130" s="505">
        <f t="shared" si="17"/>
        <v>0</v>
      </c>
      <c r="K130" s="505"/>
      <c r="L130" s="513"/>
      <c r="M130" s="505">
        <f t="shared" si="21"/>
        <v>0</v>
      </c>
      <c r="N130" s="513"/>
      <c r="O130" s="505">
        <f t="shared" si="15"/>
        <v>0</v>
      </c>
      <c r="P130" s="505">
        <f t="shared" si="16"/>
        <v>0</v>
      </c>
      <c r="Q130" s="244"/>
      <c r="R130" s="244"/>
      <c r="S130" s="244"/>
      <c r="T130" s="244"/>
      <c r="U130" s="244"/>
    </row>
    <row r="131" spans="2:21" ht="12.5">
      <c r="B131" s="145" t="str">
        <f t="shared" si="14"/>
        <v/>
      </c>
      <c r="C131" s="496">
        <f>IF(D94="","-",+C130+1)</f>
        <v>2046</v>
      </c>
      <c r="D131" s="350">
        <f>IF(F130+SUM(E$100:E130)=D$93,F130,D$93-SUM(E$100:E130))</f>
        <v>0</v>
      </c>
      <c r="E131" s="510">
        <f>IF(+J97&lt;F130,J97,D131)</f>
        <v>0</v>
      </c>
      <c r="F131" s="511">
        <f t="shared" si="18"/>
        <v>0</v>
      </c>
      <c r="G131" s="511">
        <f t="shared" si="19"/>
        <v>0</v>
      </c>
      <c r="H131" s="646">
        <f t="shared" si="22"/>
        <v>0</v>
      </c>
      <c r="I131" s="573">
        <f t="shared" si="20"/>
        <v>0</v>
      </c>
      <c r="J131" s="505">
        <f t="shared" si="17"/>
        <v>0</v>
      </c>
      <c r="K131" s="505"/>
      <c r="L131" s="513"/>
      <c r="M131" s="505">
        <f t="shared" si="21"/>
        <v>0</v>
      </c>
      <c r="N131" s="513"/>
      <c r="O131" s="505">
        <f t="shared" si="15"/>
        <v>0</v>
      </c>
      <c r="P131" s="505">
        <f t="shared" si="16"/>
        <v>0</v>
      </c>
      <c r="Q131" s="244"/>
      <c r="R131" s="244"/>
      <c r="S131" s="244"/>
      <c r="T131" s="244"/>
      <c r="U131" s="244"/>
    </row>
    <row r="132" spans="2:21" ht="12.5">
      <c r="B132" s="145" t="str">
        <f t="shared" si="14"/>
        <v/>
      </c>
      <c r="C132" s="496">
        <f>IF(D94="","-",+C131+1)</f>
        <v>2047</v>
      </c>
      <c r="D132" s="350">
        <f>IF(F131+SUM(E$100:E131)=D$93,F131,D$93-SUM(E$100:E131))</f>
        <v>0</v>
      </c>
      <c r="E132" s="510">
        <f>IF(+J97&lt;F131,J97,D132)</f>
        <v>0</v>
      </c>
      <c r="F132" s="511">
        <f t="shared" si="18"/>
        <v>0</v>
      </c>
      <c r="G132" s="511">
        <f t="shared" si="19"/>
        <v>0</v>
      </c>
      <c r="H132" s="646">
        <f t="shared" si="22"/>
        <v>0</v>
      </c>
      <c r="I132" s="573">
        <f t="shared" si="20"/>
        <v>0</v>
      </c>
      <c r="J132" s="505">
        <f t="shared" ref="J132:J155" si="23">+I542-H542</f>
        <v>0</v>
      </c>
      <c r="K132" s="505"/>
      <c r="L132" s="513"/>
      <c r="M132" s="505">
        <f t="shared" ref="M132:M155" si="24">IF(L542&lt;&gt;0,+H542-L542,0)</f>
        <v>0</v>
      </c>
      <c r="N132" s="513"/>
      <c r="O132" s="505">
        <f t="shared" ref="O132:O155" si="25">IF(N542&lt;&gt;0,+I542-N542,0)</f>
        <v>0</v>
      </c>
      <c r="P132" s="505">
        <f t="shared" ref="P132:P155" si="26">+O542-M542</f>
        <v>0</v>
      </c>
      <c r="Q132" s="244"/>
      <c r="R132" s="244"/>
      <c r="S132" s="244"/>
      <c r="T132" s="244"/>
      <c r="U132" s="244"/>
    </row>
    <row r="133" spans="2:21" ht="12.5">
      <c r="B133" s="145" t="str">
        <f t="shared" si="14"/>
        <v/>
      </c>
      <c r="C133" s="496">
        <f>IF(D94="","-",+C132+1)</f>
        <v>2048</v>
      </c>
      <c r="D133" s="350">
        <f>IF(F132+SUM(E$100:E132)=D$93,F132,D$93-SUM(E$100:E132))</f>
        <v>0</v>
      </c>
      <c r="E133" s="510">
        <f>IF(+J97&lt;F132,J97,D133)</f>
        <v>0</v>
      </c>
      <c r="F133" s="511">
        <f t="shared" si="18"/>
        <v>0</v>
      </c>
      <c r="G133" s="511">
        <f t="shared" si="19"/>
        <v>0</v>
      </c>
      <c r="H133" s="646">
        <f t="shared" si="22"/>
        <v>0</v>
      </c>
      <c r="I133" s="573">
        <f t="shared" si="20"/>
        <v>0</v>
      </c>
      <c r="J133" s="505">
        <f t="shared" si="23"/>
        <v>0</v>
      </c>
      <c r="K133" s="505"/>
      <c r="L133" s="513"/>
      <c r="M133" s="505">
        <f t="shared" si="24"/>
        <v>0</v>
      </c>
      <c r="N133" s="513"/>
      <c r="O133" s="505">
        <f t="shared" si="25"/>
        <v>0</v>
      </c>
      <c r="P133" s="505">
        <f t="shared" si="26"/>
        <v>0</v>
      </c>
      <c r="Q133" s="244"/>
      <c r="R133" s="244"/>
      <c r="S133" s="244"/>
      <c r="T133" s="244"/>
      <c r="U133" s="244"/>
    </row>
    <row r="134" spans="2:21" ht="12.5">
      <c r="B134" s="145" t="str">
        <f t="shared" si="14"/>
        <v/>
      </c>
      <c r="C134" s="496">
        <f>IF(D94="","-",+C133+1)</f>
        <v>2049</v>
      </c>
      <c r="D134" s="350">
        <f>IF(F133+SUM(E$100:E133)=D$93,F133,D$93-SUM(E$100:E133))</f>
        <v>0</v>
      </c>
      <c r="E134" s="510">
        <f>IF(+J97&lt;F133,J97,D134)</f>
        <v>0</v>
      </c>
      <c r="F134" s="511">
        <f t="shared" si="18"/>
        <v>0</v>
      </c>
      <c r="G134" s="511">
        <f t="shared" si="19"/>
        <v>0</v>
      </c>
      <c r="H134" s="646">
        <f t="shared" si="22"/>
        <v>0</v>
      </c>
      <c r="I134" s="573">
        <f t="shared" si="20"/>
        <v>0</v>
      </c>
      <c r="J134" s="505">
        <f t="shared" si="23"/>
        <v>0</v>
      </c>
      <c r="K134" s="505"/>
      <c r="L134" s="513"/>
      <c r="M134" s="505">
        <f t="shared" si="24"/>
        <v>0</v>
      </c>
      <c r="N134" s="513"/>
      <c r="O134" s="505">
        <f t="shared" si="25"/>
        <v>0</v>
      </c>
      <c r="P134" s="505">
        <f t="shared" si="26"/>
        <v>0</v>
      </c>
      <c r="Q134" s="244"/>
      <c r="R134" s="244"/>
      <c r="S134" s="244"/>
      <c r="T134" s="244"/>
      <c r="U134" s="244"/>
    </row>
    <row r="135" spans="2:21" ht="12.5">
      <c r="B135" s="145" t="str">
        <f t="shared" si="14"/>
        <v/>
      </c>
      <c r="C135" s="496">
        <f>IF(D94="","-",+C134+1)</f>
        <v>2050</v>
      </c>
      <c r="D135" s="350">
        <f>IF(F134+SUM(E$100:E134)=D$93,F134,D$93-SUM(E$100:E134))</f>
        <v>0</v>
      </c>
      <c r="E135" s="510">
        <f>IF(+J97&lt;F134,J97,D135)</f>
        <v>0</v>
      </c>
      <c r="F135" s="511">
        <f t="shared" si="18"/>
        <v>0</v>
      </c>
      <c r="G135" s="511">
        <f t="shared" si="19"/>
        <v>0</v>
      </c>
      <c r="H135" s="646">
        <f t="shared" si="22"/>
        <v>0</v>
      </c>
      <c r="I135" s="573">
        <f t="shared" si="20"/>
        <v>0</v>
      </c>
      <c r="J135" s="505">
        <f t="shared" si="23"/>
        <v>0</v>
      </c>
      <c r="K135" s="505"/>
      <c r="L135" s="513"/>
      <c r="M135" s="505">
        <f t="shared" si="24"/>
        <v>0</v>
      </c>
      <c r="N135" s="513"/>
      <c r="O135" s="505">
        <f t="shared" si="25"/>
        <v>0</v>
      </c>
      <c r="P135" s="505">
        <f t="shared" si="26"/>
        <v>0</v>
      </c>
      <c r="Q135" s="244"/>
      <c r="R135" s="244"/>
      <c r="S135" s="244"/>
      <c r="T135" s="244"/>
      <c r="U135" s="244"/>
    </row>
    <row r="136" spans="2:21" ht="12.5">
      <c r="B136" s="145" t="str">
        <f t="shared" si="14"/>
        <v/>
      </c>
      <c r="C136" s="496">
        <f>IF(D94="","-",+C135+1)</f>
        <v>2051</v>
      </c>
      <c r="D136" s="350">
        <f>IF(F135+SUM(E$100:E135)=D$93,F135,D$93-SUM(E$100:E135))</f>
        <v>0</v>
      </c>
      <c r="E136" s="510">
        <f>IF(+J97&lt;F135,J97,D136)</f>
        <v>0</v>
      </c>
      <c r="F136" s="511">
        <f t="shared" si="18"/>
        <v>0</v>
      </c>
      <c r="G136" s="511">
        <f t="shared" si="19"/>
        <v>0</v>
      </c>
      <c r="H136" s="646">
        <f t="shared" si="22"/>
        <v>0</v>
      </c>
      <c r="I136" s="573">
        <f t="shared" si="20"/>
        <v>0</v>
      </c>
      <c r="J136" s="505">
        <f t="shared" si="23"/>
        <v>0</v>
      </c>
      <c r="K136" s="505"/>
      <c r="L136" s="513"/>
      <c r="M136" s="505">
        <f t="shared" si="24"/>
        <v>0</v>
      </c>
      <c r="N136" s="513"/>
      <c r="O136" s="505">
        <f t="shared" si="25"/>
        <v>0</v>
      </c>
      <c r="P136" s="505">
        <f t="shared" si="26"/>
        <v>0</v>
      </c>
      <c r="Q136" s="244"/>
      <c r="R136" s="244"/>
      <c r="S136" s="244"/>
      <c r="T136" s="244"/>
      <c r="U136" s="244"/>
    </row>
    <row r="137" spans="2:21" ht="12.5">
      <c r="B137" s="145" t="str">
        <f t="shared" si="14"/>
        <v/>
      </c>
      <c r="C137" s="496">
        <f>IF(D94="","-",+C136+1)</f>
        <v>2052</v>
      </c>
      <c r="D137" s="350">
        <f>IF(F136+SUM(E$100:E136)=D$93,F136,D$93-SUM(E$100:E136))</f>
        <v>0</v>
      </c>
      <c r="E137" s="510">
        <f>IF(+J97&lt;F136,J97,D137)</f>
        <v>0</v>
      </c>
      <c r="F137" s="511">
        <f t="shared" si="18"/>
        <v>0</v>
      </c>
      <c r="G137" s="511">
        <f t="shared" si="19"/>
        <v>0</v>
      </c>
      <c r="H137" s="646">
        <f t="shared" si="22"/>
        <v>0</v>
      </c>
      <c r="I137" s="573">
        <f t="shared" si="20"/>
        <v>0</v>
      </c>
      <c r="J137" s="505">
        <f t="shared" si="23"/>
        <v>0</v>
      </c>
      <c r="K137" s="505"/>
      <c r="L137" s="513"/>
      <c r="M137" s="505">
        <f t="shared" si="24"/>
        <v>0</v>
      </c>
      <c r="N137" s="513"/>
      <c r="O137" s="505">
        <f t="shared" si="25"/>
        <v>0</v>
      </c>
      <c r="P137" s="505">
        <f t="shared" si="26"/>
        <v>0</v>
      </c>
      <c r="Q137" s="244"/>
      <c r="R137" s="244"/>
      <c r="S137" s="244"/>
      <c r="T137" s="244"/>
      <c r="U137" s="244"/>
    </row>
    <row r="138" spans="2:21" ht="12.5">
      <c r="B138" s="145" t="str">
        <f t="shared" si="14"/>
        <v/>
      </c>
      <c r="C138" s="496">
        <f>IF(D94="","-",+C137+1)</f>
        <v>2053</v>
      </c>
      <c r="D138" s="350">
        <f>IF(F137+SUM(E$100:E137)=D$93,F137,D$93-SUM(E$100:E137))</f>
        <v>0</v>
      </c>
      <c r="E138" s="510">
        <f>IF(+J97&lt;F137,J97,D138)</f>
        <v>0</v>
      </c>
      <c r="F138" s="511">
        <f t="shared" si="18"/>
        <v>0</v>
      </c>
      <c r="G138" s="511">
        <f t="shared" si="19"/>
        <v>0</v>
      </c>
      <c r="H138" s="646">
        <f t="shared" si="22"/>
        <v>0</v>
      </c>
      <c r="I138" s="573">
        <f t="shared" si="20"/>
        <v>0</v>
      </c>
      <c r="J138" s="505">
        <f t="shared" si="23"/>
        <v>0</v>
      </c>
      <c r="K138" s="505"/>
      <c r="L138" s="513"/>
      <c r="M138" s="505">
        <f t="shared" si="24"/>
        <v>0</v>
      </c>
      <c r="N138" s="513"/>
      <c r="O138" s="505">
        <f t="shared" si="25"/>
        <v>0</v>
      </c>
      <c r="P138" s="505">
        <f t="shared" si="26"/>
        <v>0</v>
      </c>
      <c r="Q138" s="244"/>
      <c r="R138" s="244"/>
      <c r="S138" s="244"/>
      <c r="T138" s="244"/>
      <c r="U138" s="244"/>
    </row>
    <row r="139" spans="2:21" ht="12.5">
      <c r="B139" s="145" t="str">
        <f t="shared" si="14"/>
        <v/>
      </c>
      <c r="C139" s="496">
        <f>IF(D94="","-",+C138+1)</f>
        <v>2054</v>
      </c>
      <c r="D139" s="350">
        <f>IF(F138+SUM(E$100:E138)=D$93,F138,D$93-SUM(E$100:E138))</f>
        <v>0</v>
      </c>
      <c r="E139" s="510">
        <f>IF(+J97&lt;F138,J97,D139)</f>
        <v>0</v>
      </c>
      <c r="F139" s="511">
        <f t="shared" si="18"/>
        <v>0</v>
      </c>
      <c r="G139" s="511">
        <f t="shared" si="19"/>
        <v>0</v>
      </c>
      <c r="H139" s="646">
        <f t="shared" si="22"/>
        <v>0</v>
      </c>
      <c r="I139" s="573">
        <f t="shared" si="20"/>
        <v>0</v>
      </c>
      <c r="J139" s="505">
        <f t="shared" si="23"/>
        <v>0</v>
      </c>
      <c r="K139" s="505"/>
      <c r="L139" s="513"/>
      <c r="M139" s="505">
        <f t="shared" si="24"/>
        <v>0</v>
      </c>
      <c r="N139" s="513"/>
      <c r="O139" s="505">
        <f t="shared" si="25"/>
        <v>0</v>
      </c>
      <c r="P139" s="505">
        <f t="shared" si="26"/>
        <v>0</v>
      </c>
      <c r="Q139" s="244"/>
      <c r="R139" s="244"/>
      <c r="S139" s="244"/>
      <c r="T139" s="244"/>
      <c r="U139" s="244"/>
    </row>
    <row r="140" spans="2:21" ht="12.5">
      <c r="B140" s="145" t="str">
        <f t="shared" si="14"/>
        <v/>
      </c>
      <c r="C140" s="496">
        <f>IF(D94="","-",+C139+1)</f>
        <v>2055</v>
      </c>
      <c r="D140" s="350">
        <f>IF(F139+SUM(E$100:E139)=D$93,F139,D$93-SUM(E$100:E139))</f>
        <v>0</v>
      </c>
      <c r="E140" s="510">
        <f>IF(+J97&lt;F139,J97,D140)</f>
        <v>0</v>
      </c>
      <c r="F140" s="511">
        <f t="shared" si="18"/>
        <v>0</v>
      </c>
      <c r="G140" s="511">
        <f t="shared" si="19"/>
        <v>0</v>
      </c>
      <c r="H140" s="646">
        <f t="shared" si="22"/>
        <v>0</v>
      </c>
      <c r="I140" s="573">
        <f t="shared" si="20"/>
        <v>0</v>
      </c>
      <c r="J140" s="505">
        <f t="shared" si="23"/>
        <v>0</v>
      </c>
      <c r="K140" s="505"/>
      <c r="L140" s="513"/>
      <c r="M140" s="505">
        <f t="shared" si="24"/>
        <v>0</v>
      </c>
      <c r="N140" s="513"/>
      <c r="O140" s="505">
        <f t="shared" si="25"/>
        <v>0</v>
      </c>
      <c r="P140" s="505">
        <f t="shared" si="26"/>
        <v>0</v>
      </c>
      <c r="Q140" s="244"/>
      <c r="R140" s="244"/>
      <c r="S140" s="244"/>
      <c r="T140" s="244"/>
      <c r="U140" s="244"/>
    </row>
    <row r="141" spans="2:21" ht="12.5">
      <c r="B141" s="145" t="str">
        <f t="shared" si="14"/>
        <v/>
      </c>
      <c r="C141" s="496">
        <f>IF(D94="","-",+C140+1)</f>
        <v>2056</v>
      </c>
      <c r="D141" s="350">
        <f>IF(F140+SUM(E$100:E140)=D$93,F140,D$93-SUM(E$100:E140))</f>
        <v>0</v>
      </c>
      <c r="E141" s="510">
        <f>IF(+J97&lt;F140,J97,D141)</f>
        <v>0</v>
      </c>
      <c r="F141" s="511">
        <f t="shared" si="18"/>
        <v>0</v>
      </c>
      <c r="G141" s="511">
        <f t="shared" si="19"/>
        <v>0</v>
      </c>
      <c r="H141" s="646">
        <f t="shared" si="22"/>
        <v>0</v>
      </c>
      <c r="I141" s="573">
        <f t="shared" si="20"/>
        <v>0</v>
      </c>
      <c r="J141" s="505">
        <f t="shared" si="23"/>
        <v>0</v>
      </c>
      <c r="K141" s="505"/>
      <c r="L141" s="513"/>
      <c r="M141" s="505">
        <f t="shared" si="24"/>
        <v>0</v>
      </c>
      <c r="N141" s="513"/>
      <c r="O141" s="505">
        <f t="shared" si="25"/>
        <v>0</v>
      </c>
      <c r="P141" s="505">
        <f t="shared" si="26"/>
        <v>0</v>
      </c>
      <c r="Q141" s="244"/>
      <c r="R141" s="244"/>
      <c r="S141" s="244"/>
      <c r="T141" s="244"/>
      <c r="U141" s="244"/>
    </row>
    <row r="142" spans="2:21" ht="12.5">
      <c r="B142" s="145" t="str">
        <f t="shared" si="14"/>
        <v/>
      </c>
      <c r="C142" s="496">
        <f>IF(D94="","-",+C141+1)</f>
        <v>2057</v>
      </c>
      <c r="D142" s="350">
        <f>IF(F141+SUM(E$100:E141)=D$93,F141,D$93-SUM(E$100:E141))</f>
        <v>0</v>
      </c>
      <c r="E142" s="510">
        <f>IF(+J97&lt;F141,J97,D142)</f>
        <v>0</v>
      </c>
      <c r="F142" s="511">
        <f t="shared" si="18"/>
        <v>0</v>
      </c>
      <c r="G142" s="511">
        <f t="shared" si="19"/>
        <v>0</v>
      </c>
      <c r="H142" s="646">
        <f t="shared" si="22"/>
        <v>0</v>
      </c>
      <c r="I142" s="573">
        <f t="shared" si="20"/>
        <v>0</v>
      </c>
      <c r="J142" s="505">
        <f t="shared" si="23"/>
        <v>0</v>
      </c>
      <c r="K142" s="505"/>
      <c r="L142" s="513"/>
      <c r="M142" s="505">
        <f t="shared" si="24"/>
        <v>0</v>
      </c>
      <c r="N142" s="513"/>
      <c r="O142" s="505">
        <f t="shared" si="25"/>
        <v>0</v>
      </c>
      <c r="P142" s="505">
        <f t="shared" si="26"/>
        <v>0</v>
      </c>
      <c r="Q142" s="244"/>
      <c r="R142" s="244"/>
      <c r="S142" s="244"/>
      <c r="T142" s="244"/>
      <c r="U142" s="244"/>
    </row>
    <row r="143" spans="2:21" ht="12.5">
      <c r="B143" s="145" t="str">
        <f t="shared" si="14"/>
        <v/>
      </c>
      <c r="C143" s="496">
        <f>IF(D94="","-",+C142+1)</f>
        <v>2058</v>
      </c>
      <c r="D143" s="350">
        <f>IF(F142+SUM(E$100:E142)=D$93,F142,D$93-SUM(E$100:E142))</f>
        <v>0</v>
      </c>
      <c r="E143" s="510">
        <f>IF(+J97&lt;F142,J97,D143)</f>
        <v>0</v>
      </c>
      <c r="F143" s="511">
        <f t="shared" si="18"/>
        <v>0</v>
      </c>
      <c r="G143" s="511">
        <f t="shared" si="19"/>
        <v>0</v>
      </c>
      <c r="H143" s="646">
        <f t="shared" si="22"/>
        <v>0</v>
      </c>
      <c r="I143" s="573">
        <f t="shared" si="20"/>
        <v>0</v>
      </c>
      <c r="J143" s="505">
        <f t="shared" si="23"/>
        <v>0</v>
      </c>
      <c r="K143" s="505"/>
      <c r="L143" s="513"/>
      <c r="M143" s="505">
        <f t="shared" si="24"/>
        <v>0</v>
      </c>
      <c r="N143" s="513"/>
      <c r="O143" s="505">
        <f t="shared" si="25"/>
        <v>0</v>
      </c>
      <c r="P143" s="505">
        <f t="shared" si="26"/>
        <v>0</v>
      </c>
      <c r="Q143" s="244"/>
      <c r="R143" s="244"/>
      <c r="S143" s="244"/>
      <c r="T143" s="244"/>
      <c r="U143" s="244"/>
    </row>
    <row r="144" spans="2:21" ht="12.5">
      <c r="B144" s="145" t="str">
        <f t="shared" si="14"/>
        <v/>
      </c>
      <c r="C144" s="496">
        <f>IF(D94="","-",+C143+1)</f>
        <v>2059</v>
      </c>
      <c r="D144" s="350">
        <f>IF(F143+SUM(E$100:E143)=D$93,F143,D$93-SUM(E$100:E143))</f>
        <v>0</v>
      </c>
      <c r="E144" s="510">
        <f>IF(+J97&lt;F143,J97,D144)</f>
        <v>0</v>
      </c>
      <c r="F144" s="511">
        <f t="shared" si="18"/>
        <v>0</v>
      </c>
      <c r="G144" s="511">
        <f t="shared" si="19"/>
        <v>0</v>
      </c>
      <c r="H144" s="646">
        <f t="shared" si="22"/>
        <v>0</v>
      </c>
      <c r="I144" s="573">
        <f t="shared" si="20"/>
        <v>0</v>
      </c>
      <c r="J144" s="505">
        <f t="shared" si="23"/>
        <v>0</v>
      </c>
      <c r="K144" s="505"/>
      <c r="L144" s="513"/>
      <c r="M144" s="505">
        <f t="shared" si="24"/>
        <v>0</v>
      </c>
      <c r="N144" s="513"/>
      <c r="O144" s="505">
        <f t="shared" si="25"/>
        <v>0</v>
      </c>
      <c r="P144" s="505">
        <f t="shared" si="26"/>
        <v>0</v>
      </c>
      <c r="Q144" s="244"/>
      <c r="R144" s="244"/>
      <c r="S144" s="244"/>
      <c r="T144" s="244"/>
      <c r="U144" s="244"/>
    </row>
    <row r="145" spans="2:21" ht="12.5">
      <c r="B145" s="145" t="str">
        <f t="shared" si="14"/>
        <v/>
      </c>
      <c r="C145" s="496">
        <f>IF(D94="","-",+C144+1)</f>
        <v>2060</v>
      </c>
      <c r="D145" s="350">
        <f>IF(F144+SUM(E$100:E144)=D$93,F144,D$93-SUM(E$100:E144))</f>
        <v>0</v>
      </c>
      <c r="E145" s="510">
        <f>IF(+J97&lt;F144,J97,D145)</f>
        <v>0</v>
      </c>
      <c r="F145" s="511">
        <f t="shared" si="18"/>
        <v>0</v>
      </c>
      <c r="G145" s="511">
        <f t="shared" si="19"/>
        <v>0</v>
      </c>
      <c r="H145" s="646">
        <f t="shared" si="22"/>
        <v>0</v>
      </c>
      <c r="I145" s="573">
        <f t="shared" si="20"/>
        <v>0</v>
      </c>
      <c r="J145" s="505">
        <f t="shared" si="23"/>
        <v>0</v>
      </c>
      <c r="K145" s="505"/>
      <c r="L145" s="513"/>
      <c r="M145" s="505">
        <f t="shared" si="24"/>
        <v>0</v>
      </c>
      <c r="N145" s="513"/>
      <c r="O145" s="505">
        <f t="shared" si="25"/>
        <v>0</v>
      </c>
      <c r="P145" s="505">
        <f t="shared" si="26"/>
        <v>0</v>
      </c>
      <c r="Q145" s="244"/>
      <c r="R145" s="244"/>
      <c r="S145" s="244"/>
      <c r="T145" s="244"/>
      <c r="U145" s="244"/>
    </row>
    <row r="146" spans="2:21" ht="12.5">
      <c r="B146" s="145" t="str">
        <f t="shared" si="14"/>
        <v/>
      </c>
      <c r="C146" s="496">
        <f>IF(D94="","-",+C145+1)</f>
        <v>2061</v>
      </c>
      <c r="D146" s="350">
        <f>IF(F145+SUM(E$100:E145)=D$93,F145,D$93-SUM(E$100:E145))</f>
        <v>0</v>
      </c>
      <c r="E146" s="510">
        <f>IF(+J97&lt;F145,J97,D146)</f>
        <v>0</v>
      </c>
      <c r="F146" s="511">
        <f t="shared" si="18"/>
        <v>0</v>
      </c>
      <c r="G146" s="511">
        <f t="shared" si="19"/>
        <v>0</v>
      </c>
      <c r="H146" s="646">
        <f t="shared" si="22"/>
        <v>0</v>
      </c>
      <c r="I146" s="573">
        <f t="shared" si="20"/>
        <v>0</v>
      </c>
      <c r="J146" s="505">
        <f t="shared" si="23"/>
        <v>0</v>
      </c>
      <c r="K146" s="505"/>
      <c r="L146" s="513"/>
      <c r="M146" s="505">
        <f t="shared" si="24"/>
        <v>0</v>
      </c>
      <c r="N146" s="513"/>
      <c r="O146" s="505">
        <f t="shared" si="25"/>
        <v>0</v>
      </c>
      <c r="P146" s="505">
        <f t="shared" si="26"/>
        <v>0</v>
      </c>
      <c r="Q146" s="244"/>
      <c r="R146" s="244"/>
      <c r="S146" s="244"/>
      <c r="T146" s="244"/>
      <c r="U146" s="244"/>
    </row>
    <row r="147" spans="2:21" ht="12.5">
      <c r="B147" s="145" t="str">
        <f t="shared" si="14"/>
        <v/>
      </c>
      <c r="C147" s="496">
        <f>IF(D94="","-",+C146+1)</f>
        <v>2062</v>
      </c>
      <c r="D147" s="350">
        <f>IF(F146+SUM(E$100:E146)=D$93,F146,D$93-SUM(E$100:E146))</f>
        <v>0</v>
      </c>
      <c r="E147" s="510">
        <f>IF(+J97&lt;F146,J97,D147)</f>
        <v>0</v>
      </c>
      <c r="F147" s="511">
        <f t="shared" si="18"/>
        <v>0</v>
      </c>
      <c r="G147" s="511">
        <f t="shared" si="19"/>
        <v>0</v>
      </c>
      <c r="H147" s="646">
        <f t="shared" si="22"/>
        <v>0</v>
      </c>
      <c r="I147" s="573">
        <f t="shared" si="20"/>
        <v>0</v>
      </c>
      <c r="J147" s="505">
        <f t="shared" si="23"/>
        <v>0</v>
      </c>
      <c r="K147" s="505"/>
      <c r="L147" s="513"/>
      <c r="M147" s="505">
        <f t="shared" si="24"/>
        <v>0</v>
      </c>
      <c r="N147" s="513"/>
      <c r="O147" s="505">
        <f t="shared" si="25"/>
        <v>0</v>
      </c>
      <c r="P147" s="505">
        <f t="shared" si="26"/>
        <v>0</v>
      </c>
      <c r="Q147" s="244"/>
      <c r="R147" s="244"/>
      <c r="S147" s="244"/>
      <c r="T147" s="244"/>
      <c r="U147" s="244"/>
    </row>
    <row r="148" spans="2:21" ht="12.5">
      <c r="B148" s="145" t="str">
        <f t="shared" si="14"/>
        <v/>
      </c>
      <c r="C148" s="496">
        <f>IF(D94="","-",+C147+1)</f>
        <v>2063</v>
      </c>
      <c r="D148" s="350">
        <f>IF(F147+SUM(E$100:E147)=D$93,F147,D$93-SUM(E$100:E147))</f>
        <v>0</v>
      </c>
      <c r="E148" s="510">
        <f>IF(+J97&lt;F147,J97,D148)</f>
        <v>0</v>
      </c>
      <c r="F148" s="511">
        <f t="shared" si="18"/>
        <v>0</v>
      </c>
      <c r="G148" s="511">
        <f t="shared" si="19"/>
        <v>0</v>
      </c>
      <c r="H148" s="646">
        <f t="shared" si="22"/>
        <v>0</v>
      </c>
      <c r="I148" s="573">
        <f t="shared" si="20"/>
        <v>0</v>
      </c>
      <c r="J148" s="505">
        <f t="shared" si="23"/>
        <v>0</v>
      </c>
      <c r="K148" s="505"/>
      <c r="L148" s="513"/>
      <c r="M148" s="505">
        <f t="shared" si="24"/>
        <v>0</v>
      </c>
      <c r="N148" s="513"/>
      <c r="O148" s="505">
        <f t="shared" si="25"/>
        <v>0</v>
      </c>
      <c r="P148" s="505">
        <f t="shared" si="26"/>
        <v>0</v>
      </c>
      <c r="Q148" s="244"/>
      <c r="R148" s="244"/>
      <c r="S148" s="244"/>
      <c r="T148" s="244"/>
      <c r="U148" s="244"/>
    </row>
    <row r="149" spans="2:21" ht="12.5">
      <c r="B149" s="145" t="str">
        <f t="shared" si="14"/>
        <v/>
      </c>
      <c r="C149" s="496">
        <f>IF(D94="","-",+C148+1)</f>
        <v>2064</v>
      </c>
      <c r="D149" s="350">
        <f>IF(F148+SUM(E$100:E148)=D$93,F148,D$93-SUM(E$100:E148))</f>
        <v>0</v>
      </c>
      <c r="E149" s="510">
        <f>IF(+J97&lt;F148,J97,D149)</f>
        <v>0</v>
      </c>
      <c r="F149" s="511">
        <f t="shared" si="18"/>
        <v>0</v>
      </c>
      <c r="G149" s="511">
        <f t="shared" si="19"/>
        <v>0</v>
      </c>
      <c r="H149" s="646">
        <f t="shared" si="22"/>
        <v>0</v>
      </c>
      <c r="I149" s="573">
        <f t="shared" si="20"/>
        <v>0</v>
      </c>
      <c r="J149" s="505">
        <f t="shared" si="23"/>
        <v>0</v>
      </c>
      <c r="K149" s="505"/>
      <c r="L149" s="513"/>
      <c r="M149" s="505">
        <f t="shared" si="24"/>
        <v>0</v>
      </c>
      <c r="N149" s="513"/>
      <c r="O149" s="505">
        <f t="shared" si="25"/>
        <v>0</v>
      </c>
      <c r="P149" s="505">
        <f t="shared" si="26"/>
        <v>0</v>
      </c>
      <c r="Q149" s="244"/>
      <c r="R149" s="244"/>
      <c r="S149" s="244"/>
      <c r="T149" s="244"/>
      <c r="U149" s="244"/>
    </row>
    <row r="150" spans="2:21" ht="12.5">
      <c r="B150" s="145" t="str">
        <f t="shared" si="14"/>
        <v/>
      </c>
      <c r="C150" s="496">
        <f>IF(D94="","-",+C149+1)</f>
        <v>2065</v>
      </c>
      <c r="D150" s="350">
        <f>IF(F149+SUM(E$100:E149)=D$93,F149,D$93-SUM(E$100:E149))</f>
        <v>0</v>
      </c>
      <c r="E150" s="510">
        <f>IF(+J97&lt;F149,J97,D150)</f>
        <v>0</v>
      </c>
      <c r="F150" s="511">
        <f t="shared" si="18"/>
        <v>0</v>
      </c>
      <c r="G150" s="511">
        <f t="shared" si="19"/>
        <v>0</v>
      </c>
      <c r="H150" s="646">
        <f t="shared" si="22"/>
        <v>0</v>
      </c>
      <c r="I150" s="573">
        <f t="shared" si="20"/>
        <v>0</v>
      </c>
      <c r="J150" s="505">
        <f t="shared" si="23"/>
        <v>0</v>
      </c>
      <c r="K150" s="505"/>
      <c r="L150" s="513"/>
      <c r="M150" s="505">
        <f t="shared" si="24"/>
        <v>0</v>
      </c>
      <c r="N150" s="513"/>
      <c r="O150" s="505">
        <f t="shared" si="25"/>
        <v>0</v>
      </c>
      <c r="P150" s="505">
        <f t="shared" si="26"/>
        <v>0</v>
      </c>
      <c r="Q150" s="244"/>
      <c r="R150" s="244"/>
      <c r="S150" s="244"/>
      <c r="T150" s="244"/>
      <c r="U150" s="244"/>
    </row>
    <row r="151" spans="2:21" ht="12.5">
      <c r="B151" s="145" t="str">
        <f t="shared" si="14"/>
        <v/>
      </c>
      <c r="C151" s="496">
        <f>IF(D94="","-",+C150+1)</f>
        <v>2066</v>
      </c>
      <c r="D151" s="350">
        <f>IF(F150+SUM(E$100:E150)=D$93,F150,D$93-SUM(E$100:E150))</f>
        <v>0</v>
      </c>
      <c r="E151" s="510">
        <f>IF(+J97&lt;F150,J97,D151)</f>
        <v>0</v>
      </c>
      <c r="F151" s="511">
        <f t="shared" si="18"/>
        <v>0</v>
      </c>
      <c r="G151" s="511">
        <f t="shared" si="19"/>
        <v>0</v>
      </c>
      <c r="H151" s="646">
        <f t="shared" si="22"/>
        <v>0</v>
      </c>
      <c r="I151" s="573">
        <f t="shared" si="20"/>
        <v>0</v>
      </c>
      <c r="J151" s="505">
        <f t="shared" si="23"/>
        <v>0</v>
      </c>
      <c r="K151" s="505"/>
      <c r="L151" s="513"/>
      <c r="M151" s="505">
        <f t="shared" si="24"/>
        <v>0</v>
      </c>
      <c r="N151" s="513"/>
      <c r="O151" s="505">
        <f t="shared" si="25"/>
        <v>0</v>
      </c>
      <c r="P151" s="505">
        <f t="shared" si="26"/>
        <v>0</v>
      </c>
      <c r="Q151" s="244"/>
      <c r="R151" s="244"/>
      <c r="S151" s="244"/>
      <c r="T151" s="244"/>
      <c r="U151" s="244"/>
    </row>
    <row r="152" spans="2:21" ht="12.5">
      <c r="B152" s="145" t="str">
        <f t="shared" si="14"/>
        <v/>
      </c>
      <c r="C152" s="496">
        <f>IF(D94="","-",+C151+1)</f>
        <v>2067</v>
      </c>
      <c r="D152" s="350">
        <f>IF(F151+SUM(E$100:E151)=D$93,F151,D$93-SUM(E$100:E151))</f>
        <v>0</v>
      </c>
      <c r="E152" s="510">
        <f>IF(+J97&lt;F151,J97,D152)</f>
        <v>0</v>
      </c>
      <c r="F152" s="511">
        <f t="shared" si="18"/>
        <v>0</v>
      </c>
      <c r="G152" s="511">
        <f t="shared" si="19"/>
        <v>0</v>
      </c>
      <c r="H152" s="646">
        <f t="shared" si="22"/>
        <v>0</v>
      </c>
      <c r="I152" s="573">
        <f t="shared" si="20"/>
        <v>0</v>
      </c>
      <c r="J152" s="505">
        <f t="shared" si="23"/>
        <v>0</v>
      </c>
      <c r="K152" s="505"/>
      <c r="L152" s="513"/>
      <c r="M152" s="505">
        <f t="shared" si="24"/>
        <v>0</v>
      </c>
      <c r="N152" s="513"/>
      <c r="O152" s="505">
        <f t="shared" si="25"/>
        <v>0</v>
      </c>
      <c r="P152" s="505">
        <f t="shared" si="26"/>
        <v>0</v>
      </c>
      <c r="Q152" s="244"/>
      <c r="R152" s="244"/>
      <c r="S152" s="244"/>
      <c r="T152" s="244"/>
      <c r="U152" s="244"/>
    </row>
    <row r="153" spans="2:21" ht="12.5">
      <c r="B153" s="145" t="str">
        <f t="shared" si="14"/>
        <v/>
      </c>
      <c r="C153" s="496">
        <f>IF(D94="","-",+C152+1)</f>
        <v>2068</v>
      </c>
      <c r="D153" s="350">
        <f>IF(F152+SUM(E$100:E152)=D$93,F152,D$93-SUM(E$100:E152))</f>
        <v>0</v>
      </c>
      <c r="E153" s="510">
        <f>IF(+J97&lt;F152,J97,D153)</f>
        <v>0</v>
      </c>
      <c r="F153" s="511">
        <f t="shared" si="18"/>
        <v>0</v>
      </c>
      <c r="G153" s="511">
        <f t="shared" si="19"/>
        <v>0</v>
      </c>
      <c r="H153" s="646">
        <f t="shared" si="22"/>
        <v>0</v>
      </c>
      <c r="I153" s="573">
        <f t="shared" si="20"/>
        <v>0</v>
      </c>
      <c r="J153" s="505">
        <f t="shared" si="23"/>
        <v>0</v>
      </c>
      <c r="K153" s="505"/>
      <c r="L153" s="513"/>
      <c r="M153" s="505">
        <f t="shared" si="24"/>
        <v>0</v>
      </c>
      <c r="N153" s="513"/>
      <c r="O153" s="505">
        <f t="shared" si="25"/>
        <v>0</v>
      </c>
      <c r="P153" s="505">
        <f t="shared" si="26"/>
        <v>0</v>
      </c>
      <c r="Q153" s="244"/>
      <c r="R153" s="244"/>
      <c r="S153" s="244"/>
      <c r="T153" s="244"/>
      <c r="U153" s="244"/>
    </row>
    <row r="154" spans="2:21" ht="12.5">
      <c r="B154" s="145" t="str">
        <f t="shared" si="14"/>
        <v/>
      </c>
      <c r="C154" s="496">
        <f>IF(D94="","-",+C153+1)</f>
        <v>2069</v>
      </c>
      <c r="D154" s="350">
        <f>IF(F153+SUM(E$100:E153)=D$93,F153,D$93-SUM(E$100:E153))</f>
        <v>0</v>
      </c>
      <c r="E154" s="510">
        <f>IF(+J97&lt;F153,J97,D154)</f>
        <v>0</v>
      </c>
      <c r="F154" s="511">
        <f t="shared" si="18"/>
        <v>0</v>
      </c>
      <c r="G154" s="511">
        <f t="shared" si="19"/>
        <v>0</v>
      </c>
      <c r="H154" s="646">
        <f t="shared" si="22"/>
        <v>0</v>
      </c>
      <c r="I154" s="573">
        <f t="shared" si="20"/>
        <v>0</v>
      </c>
      <c r="J154" s="505">
        <f t="shared" si="23"/>
        <v>0</v>
      </c>
      <c r="K154" s="505"/>
      <c r="L154" s="513"/>
      <c r="M154" s="505">
        <f t="shared" si="24"/>
        <v>0</v>
      </c>
      <c r="N154" s="513"/>
      <c r="O154" s="505">
        <f t="shared" si="25"/>
        <v>0</v>
      </c>
      <c r="P154" s="505">
        <f t="shared" si="26"/>
        <v>0</v>
      </c>
      <c r="Q154" s="244"/>
      <c r="R154" s="244"/>
      <c r="S154" s="244"/>
      <c r="T154" s="244"/>
      <c r="U154" s="244"/>
    </row>
    <row r="155" spans="2:21" ht="13" thickBot="1">
      <c r="B155" s="145" t="str">
        <f t="shared" si="14"/>
        <v/>
      </c>
      <c r="C155" s="525">
        <f>IF(D94="","-",+C154+1)</f>
        <v>2070</v>
      </c>
      <c r="D155" s="350">
        <f>IF(F154+SUM(E$100:E154)=D$93,F154,D$93-SUM(E$100:E154))</f>
        <v>0</v>
      </c>
      <c r="E155" s="527">
        <f>IF(+J97&lt;F154,J97,D155)</f>
        <v>0</v>
      </c>
      <c r="F155" s="528">
        <f t="shared" si="18"/>
        <v>0</v>
      </c>
      <c r="G155" s="528">
        <f t="shared" si="19"/>
        <v>0</v>
      </c>
      <c r="H155" s="646">
        <f t="shared" si="22"/>
        <v>0</v>
      </c>
      <c r="I155" s="624">
        <f t="shared" si="20"/>
        <v>0</v>
      </c>
      <c r="J155" s="532">
        <f t="shared" si="23"/>
        <v>0</v>
      </c>
      <c r="K155" s="505"/>
      <c r="L155" s="531"/>
      <c r="M155" s="532">
        <f t="shared" si="24"/>
        <v>0</v>
      </c>
      <c r="N155" s="531"/>
      <c r="O155" s="532">
        <f t="shared" si="25"/>
        <v>0</v>
      </c>
      <c r="P155" s="532">
        <f t="shared" si="26"/>
        <v>0</v>
      </c>
      <c r="Q155" s="244"/>
      <c r="R155" s="244"/>
      <c r="S155" s="244"/>
      <c r="T155" s="244"/>
      <c r="U155" s="244"/>
    </row>
    <row r="156" spans="2:21" ht="12.5">
      <c r="C156" s="350" t="s">
        <v>75</v>
      </c>
      <c r="D156" s="295"/>
      <c r="E156" s="295">
        <f>SUM(E100:E155)</f>
        <v>8535104.0000000019</v>
      </c>
      <c r="F156" s="295"/>
      <c r="G156" s="295"/>
      <c r="H156" s="295">
        <f>SUM(H100:H155)</f>
        <v>22535568.256589215</v>
      </c>
      <c r="I156" s="295">
        <f>SUM(I100:I155)</f>
        <v>22535568.256589215</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4" priority="1" stopIfTrue="1" operator="equal">
      <formula>$I$10</formula>
    </cfRule>
  </conditionalFormatting>
  <conditionalFormatting sqref="C100:C155">
    <cfRule type="cellIs" dxfId="3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39997558519241921"/>
  </sheetPr>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10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862818.59359815018</v>
      </c>
      <c r="P5" s="244"/>
      <c r="R5" s="244"/>
      <c r="S5" s="244"/>
      <c r="T5" s="244"/>
      <c r="U5" s="244"/>
    </row>
    <row r="6" spans="1:21" ht="15.5">
      <c r="C6" s="236"/>
      <c r="D6" s="293"/>
      <c r="E6" s="244"/>
      <c r="F6" s="244"/>
      <c r="G6" s="244"/>
      <c r="H6" s="450"/>
      <c r="I6" s="450"/>
      <c r="J6" s="451"/>
      <c r="K6" s="452" t="s">
        <v>243</v>
      </c>
      <c r="L6" s="453"/>
      <c r="M6" s="279"/>
      <c r="N6" s="454">
        <f>VLOOKUP(I10,C17:I73,6)</f>
        <v>862818.59359815018</v>
      </c>
      <c r="O6" s="244"/>
      <c r="P6" s="244"/>
      <c r="R6" s="244"/>
      <c r="S6" s="244"/>
      <c r="T6" s="244"/>
      <c r="U6" s="244"/>
    </row>
    <row r="7" spans="1:21" ht="13.5" thickBot="1">
      <c r="C7" s="455" t="s">
        <v>46</v>
      </c>
      <c r="D7" s="456" t="s">
        <v>229</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218</v>
      </c>
      <c r="E9" s="466"/>
      <c r="F9" s="466"/>
      <c r="G9" s="466"/>
      <c r="H9" s="466"/>
      <c r="I9" s="467"/>
      <c r="J9" s="468"/>
      <c r="O9" s="469"/>
      <c r="P9" s="279"/>
      <c r="R9" s="244"/>
      <c r="S9" s="244"/>
      <c r="T9" s="244"/>
      <c r="U9" s="244"/>
    </row>
    <row r="10" spans="1:21" ht="13">
      <c r="C10" s="470" t="s">
        <v>49</v>
      </c>
      <c r="D10" s="471">
        <v>7210309</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212067.91176470587</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497">
        <v>7200873.8200000003</v>
      </c>
      <c r="E17" s="498">
        <v>0</v>
      </c>
      <c r="F17" s="497">
        <v>7200873.8200000003</v>
      </c>
      <c r="G17" s="498">
        <v>66024.408436961749</v>
      </c>
      <c r="H17" s="500">
        <v>66024.408436961749</v>
      </c>
      <c r="I17" s="585">
        <v>0</v>
      </c>
      <c r="J17" s="501"/>
      <c r="K17" s="502">
        <f t="shared" ref="K17:K22" si="1">G17</f>
        <v>66024.408436961749</v>
      </c>
      <c r="L17" s="503">
        <f t="shared" ref="L17:L22" si="2">IF(K17&lt;&gt;0,+G17-K17,0)</f>
        <v>0</v>
      </c>
      <c r="M17" s="502">
        <f t="shared" ref="M17:M22" si="3">H17</f>
        <v>66024.408436961749</v>
      </c>
      <c r="N17" s="504">
        <f>IF(M17&lt;&gt;0,+H17-M17,0)</f>
        <v>0</v>
      </c>
      <c r="O17" s="505">
        <f>+N17-L17</f>
        <v>0</v>
      </c>
      <c r="P17" s="279"/>
      <c r="R17" s="244"/>
      <c r="S17" s="244"/>
      <c r="T17" s="244"/>
      <c r="U17" s="244"/>
    </row>
    <row r="18" spans="2:21" ht="12.5">
      <c r="B18" s="145" t="str">
        <f t="shared" si="0"/>
        <v/>
      </c>
      <c r="C18" s="496">
        <f>IF(D11="","-",+C17+1)</f>
        <v>2014</v>
      </c>
      <c r="D18" s="506">
        <v>7200873.8200000003</v>
      </c>
      <c r="E18" s="499">
        <v>124569.42917795427</v>
      </c>
      <c r="F18" s="506">
        <v>7076304.3908220464</v>
      </c>
      <c r="G18" s="499">
        <v>903156.28905530274</v>
      </c>
      <c r="H18" s="500">
        <v>903156.28905530274</v>
      </c>
      <c r="I18" s="585">
        <v>0</v>
      </c>
      <c r="J18" s="501"/>
      <c r="K18" s="593">
        <f t="shared" si="1"/>
        <v>903156.28905530274</v>
      </c>
      <c r="L18" s="597">
        <f t="shared" si="2"/>
        <v>0</v>
      </c>
      <c r="M18" s="593">
        <f t="shared" si="3"/>
        <v>903156.28905530274</v>
      </c>
      <c r="N18" s="595">
        <f>IF(M18&lt;&gt;0,+H18-M18,0)</f>
        <v>0</v>
      </c>
      <c r="O18" s="597">
        <f>+N18-L18</f>
        <v>0</v>
      </c>
      <c r="P18" s="279"/>
      <c r="R18" s="244"/>
      <c r="S18" s="244"/>
      <c r="T18" s="244"/>
      <c r="U18" s="244"/>
    </row>
    <row r="19" spans="2:21" ht="12.5">
      <c r="B19" s="145" t="str">
        <f t="shared" si="0"/>
        <v/>
      </c>
      <c r="C19" s="496">
        <f>IF(D11="","-",+C18+1)</f>
        <v>2015</v>
      </c>
      <c r="D19" s="615">
        <v>7076304.3908220464</v>
      </c>
      <c r="E19" s="614">
        <v>124569.42917795427</v>
      </c>
      <c r="F19" s="615">
        <v>6951734.9616440926</v>
      </c>
      <c r="G19" s="614">
        <v>841053.03893843992</v>
      </c>
      <c r="H19" s="618">
        <v>841053.03893843992</v>
      </c>
      <c r="I19" s="585">
        <v>0</v>
      </c>
      <c r="J19" s="501"/>
      <c r="K19" s="593">
        <f t="shared" si="1"/>
        <v>841053.03893843992</v>
      </c>
      <c r="L19" s="597">
        <f t="shared" si="2"/>
        <v>0</v>
      </c>
      <c r="M19" s="593">
        <f t="shared" si="3"/>
        <v>841053.03893843992</v>
      </c>
      <c r="N19" s="595">
        <f>IF(M19&lt;&gt;0,+H19-M19,0)</f>
        <v>0</v>
      </c>
      <c r="O19" s="597">
        <f>+N19-L19</f>
        <v>0</v>
      </c>
      <c r="P19" s="279"/>
      <c r="R19" s="244"/>
      <c r="S19" s="244"/>
      <c r="T19" s="244"/>
      <c r="U19" s="244"/>
    </row>
    <row r="20" spans="2:21" ht="12.5">
      <c r="B20" s="145" t="str">
        <f t="shared" si="0"/>
        <v/>
      </c>
      <c r="C20" s="496">
        <f>IF(D11="","-",+C19+1)</f>
        <v>2016</v>
      </c>
      <c r="D20" s="615">
        <v>6951734.9616440926</v>
      </c>
      <c r="E20" s="614">
        <v>149630.22739831218</v>
      </c>
      <c r="F20" s="615">
        <v>6802104.7342457809</v>
      </c>
      <c r="G20" s="614">
        <v>883443.80340987013</v>
      </c>
      <c r="H20" s="618">
        <v>883443.80340987013</v>
      </c>
      <c r="I20" s="501">
        <f>H20-G20</f>
        <v>0</v>
      </c>
      <c r="J20" s="501"/>
      <c r="K20" s="593">
        <f t="shared" si="1"/>
        <v>883443.80340987013</v>
      </c>
      <c r="L20" s="597">
        <f t="shared" si="2"/>
        <v>0</v>
      </c>
      <c r="M20" s="593">
        <f t="shared" si="3"/>
        <v>883443.80340987013</v>
      </c>
      <c r="N20" s="505">
        <f t="shared" ref="N20:N73" si="4">IF(M20&lt;&gt;0,+H20-M20,0)</f>
        <v>0</v>
      </c>
      <c r="O20" s="505">
        <f t="shared" ref="O20:O73" si="5">+N20-L20</f>
        <v>0</v>
      </c>
      <c r="P20" s="279"/>
      <c r="R20" s="244"/>
      <c r="S20" s="244"/>
      <c r="T20" s="244"/>
      <c r="U20" s="244"/>
    </row>
    <row r="21" spans="2:21" ht="12.5">
      <c r="B21" s="145" t="str">
        <f t="shared" si="0"/>
        <v>IU</v>
      </c>
      <c r="C21" s="496">
        <f>IF(D11="","-",+C20+1)</f>
        <v>2017</v>
      </c>
      <c r="D21" s="615">
        <v>6811539.9142457796</v>
      </c>
      <c r="E21" s="614">
        <v>141768.94979225809</v>
      </c>
      <c r="F21" s="615">
        <v>6669770.9644535212</v>
      </c>
      <c r="G21" s="614">
        <v>882836.42245279858</v>
      </c>
      <c r="H21" s="618">
        <v>882836.42245279858</v>
      </c>
      <c r="I21" s="501">
        <f t="shared" ref="I21:I73" si="6">H21-G21</f>
        <v>0</v>
      </c>
      <c r="J21" s="501"/>
      <c r="K21" s="593">
        <f t="shared" si="1"/>
        <v>882836.42245279858</v>
      </c>
      <c r="L21" s="597">
        <f t="shared" si="2"/>
        <v>0</v>
      </c>
      <c r="M21" s="593">
        <f t="shared" si="3"/>
        <v>882836.42245279858</v>
      </c>
      <c r="N21" s="505">
        <f>IF(M21&lt;&gt;0,+H21-M21,0)</f>
        <v>0</v>
      </c>
      <c r="O21" s="505">
        <f>+N21-L21</f>
        <v>0</v>
      </c>
      <c r="P21" s="279"/>
      <c r="R21" s="244"/>
      <c r="S21" s="244"/>
      <c r="T21" s="244"/>
      <c r="U21" s="244"/>
    </row>
    <row r="22" spans="2:21" ht="12.5">
      <c r="B22" s="145" t="str">
        <f t="shared" si="0"/>
        <v/>
      </c>
      <c r="C22" s="496">
        <f>IF(D11="","-",+C21+1)</f>
        <v>2018</v>
      </c>
      <c r="D22" s="615">
        <v>6669770.9644535212</v>
      </c>
      <c r="E22" s="614">
        <v>176829.81385654397</v>
      </c>
      <c r="F22" s="615">
        <v>6492941.1505969772</v>
      </c>
      <c r="G22" s="614">
        <v>950080.0959319286</v>
      </c>
      <c r="H22" s="618">
        <v>950080.0959319286</v>
      </c>
      <c r="I22" s="501">
        <v>0</v>
      </c>
      <c r="J22" s="501"/>
      <c r="K22" s="593">
        <f t="shared" si="1"/>
        <v>950080.0959319286</v>
      </c>
      <c r="L22" s="597">
        <f t="shared" si="2"/>
        <v>0</v>
      </c>
      <c r="M22" s="593">
        <f t="shared" si="3"/>
        <v>950080.0959319286</v>
      </c>
      <c r="N22" s="505">
        <f>IF(M22&lt;&gt;0,+H22-M22,0)</f>
        <v>0</v>
      </c>
      <c r="O22" s="505">
        <f>+N22-L22</f>
        <v>0</v>
      </c>
      <c r="P22" s="279"/>
      <c r="R22" s="244"/>
      <c r="S22" s="244"/>
      <c r="T22" s="244"/>
      <c r="U22" s="244"/>
    </row>
    <row r="23" spans="2:21" ht="12.5">
      <c r="B23" s="145" t="str">
        <f t="shared" si="0"/>
        <v/>
      </c>
      <c r="C23" s="496">
        <f>IF(D11="","-",+C22+1)</f>
        <v>2019</v>
      </c>
      <c r="D23" s="615">
        <v>6492941.1505969772</v>
      </c>
      <c r="E23" s="614">
        <v>176829.81385654397</v>
      </c>
      <c r="F23" s="615">
        <v>6316111.3367404332</v>
      </c>
      <c r="G23" s="614">
        <v>929304.1795024313</v>
      </c>
      <c r="H23" s="618">
        <v>929304.1795024313</v>
      </c>
      <c r="I23" s="501">
        <f t="shared" si="6"/>
        <v>0</v>
      </c>
      <c r="J23" s="501"/>
      <c r="K23" s="593">
        <f t="shared" ref="K23" si="7">G23</f>
        <v>929304.1795024313</v>
      </c>
      <c r="L23" s="597">
        <f t="shared" ref="L23" si="8">IF(K23&lt;&gt;0,+G23-K23,0)</f>
        <v>0</v>
      </c>
      <c r="M23" s="593">
        <f t="shared" ref="M23" si="9">H23</f>
        <v>929304.1795024313</v>
      </c>
      <c r="N23" s="505">
        <f>IF(M23&lt;&gt;0,+H23-M23,0)</f>
        <v>0</v>
      </c>
      <c r="O23" s="505">
        <f>+N23-L23</f>
        <v>0</v>
      </c>
      <c r="P23" s="279"/>
      <c r="R23" s="244"/>
      <c r="S23" s="244"/>
      <c r="T23" s="244"/>
      <c r="U23" s="244"/>
    </row>
    <row r="24" spans="2:21" ht="12.5">
      <c r="B24" s="145" t="str">
        <f t="shared" si="0"/>
        <v/>
      </c>
      <c r="C24" s="496">
        <f>IF(D11="","-",+C23+1)</f>
        <v>2020</v>
      </c>
      <c r="D24" s="615">
        <v>6316111.3367404332</v>
      </c>
      <c r="E24" s="614">
        <v>211130.68525810694</v>
      </c>
      <c r="F24" s="615">
        <v>6104980.651482326</v>
      </c>
      <c r="G24" s="614">
        <v>862818.59359815018</v>
      </c>
      <c r="H24" s="618">
        <v>862818.59359815018</v>
      </c>
      <c r="I24" s="501">
        <f t="shared" si="6"/>
        <v>0</v>
      </c>
      <c r="J24" s="501"/>
      <c r="K24" s="593">
        <f t="shared" ref="K24" si="10">G24</f>
        <v>862818.59359815018</v>
      </c>
      <c r="L24" s="597">
        <f t="shared" ref="L24" si="11">IF(K24&lt;&gt;0,+G24-K24,0)</f>
        <v>0</v>
      </c>
      <c r="M24" s="593">
        <f t="shared" ref="M24" si="12">H24</f>
        <v>862818.59359815018</v>
      </c>
      <c r="N24" s="505">
        <f t="shared" si="4"/>
        <v>0</v>
      </c>
      <c r="O24" s="505">
        <f t="shared" si="5"/>
        <v>0</v>
      </c>
      <c r="P24" s="279"/>
      <c r="R24" s="244"/>
      <c r="S24" s="244"/>
      <c r="T24" s="244"/>
      <c r="U24" s="244"/>
    </row>
    <row r="25" spans="2:21" ht="12.5">
      <c r="B25" s="145" t="str">
        <f t="shared" si="0"/>
        <v/>
      </c>
      <c r="C25" s="496">
        <f>IF(D11="","-",+C24+1)</f>
        <v>2021</v>
      </c>
      <c r="D25" s="509">
        <f>IF(F24+SUM(E$17:E24)=D$10,F24,D$10-SUM(E$17:E24))</f>
        <v>6104980.651482326</v>
      </c>
      <c r="E25" s="510">
        <f t="shared" ref="E25:E73" si="13">IF(+$I$14&lt;F24,$I$14,D25)</f>
        <v>212067.91176470587</v>
      </c>
      <c r="F25" s="511">
        <f t="shared" ref="F25:F73" si="14">+D25-E25</f>
        <v>5892912.7397176204</v>
      </c>
      <c r="G25" s="512">
        <f t="shared" ref="G25:G73" si="15">(D25+F25)/2*I$12+E25</f>
        <v>850458.71466870431</v>
      </c>
      <c r="H25" s="478">
        <f t="shared" ref="H25:H73" si="16">+(D25+F25)/2*I$13+E25</f>
        <v>850458.71466870431</v>
      </c>
      <c r="I25" s="501">
        <f t="shared" si="6"/>
        <v>0</v>
      </c>
      <c r="J25" s="501"/>
      <c r="K25" s="513"/>
      <c r="L25" s="505">
        <f t="shared" ref="L25:L73" si="17">IF(K25&lt;&gt;0,+G25-K25,0)</f>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5892912.7397176204</v>
      </c>
      <c r="E26" s="510">
        <f t="shared" si="13"/>
        <v>212067.91176470587</v>
      </c>
      <c r="F26" s="511">
        <f t="shared" si="14"/>
        <v>5680844.8279529149</v>
      </c>
      <c r="G26" s="512">
        <f t="shared" si="15"/>
        <v>827891.05215539294</v>
      </c>
      <c r="H26" s="478">
        <f t="shared" si="16"/>
        <v>827891.05215539294</v>
      </c>
      <c r="I26" s="501">
        <f t="shared" si="6"/>
        <v>0</v>
      </c>
      <c r="J26" s="501"/>
      <c r="K26" s="513"/>
      <c r="L26" s="505">
        <f t="shared" si="17"/>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5680844.8279529149</v>
      </c>
      <c r="E27" s="510">
        <f t="shared" si="13"/>
        <v>212067.91176470587</v>
      </c>
      <c r="F27" s="511">
        <f t="shared" si="14"/>
        <v>5468776.9161882093</v>
      </c>
      <c r="G27" s="512">
        <f t="shared" si="15"/>
        <v>805323.38964208157</v>
      </c>
      <c r="H27" s="478">
        <f t="shared" si="16"/>
        <v>805323.38964208157</v>
      </c>
      <c r="I27" s="501">
        <f t="shared" si="6"/>
        <v>0</v>
      </c>
      <c r="J27" s="501"/>
      <c r="K27" s="513"/>
      <c r="L27" s="505">
        <f t="shared" si="17"/>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5468776.9161882093</v>
      </c>
      <c r="E28" s="510">
        <f t="shared" si="13"/>
        <v>212067.91176470587</v>
      </c>
      <c r="F28" s="511">
        <f t="shared" si="14"/>
        <v>5256709.0044235038</v>
      </c>
      <c r="G28" s="512">
        <f t="shared" si="15"/>
        <v>782755.7271287702</v>
      </c>
      <c r="H28" s="478">
        <f t="shared" si="16"/>
        <v>782755.7271287702</v>
      </c>
      <c r="I28" s="501">
        <f t="shared" si="6"/>
        <v>0</v>
      </c>
      <c r="J28" s="501"/>
      <c r="K28" s="513"/>
      <c r="L28" s="505">
        <f t="shared" si="17"/>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5256709.0044235038</v>
      </c>
      <c r="E29" s="510">
        <f t="shared" si="13"/>
        <v>212067.91176470587</v>
      </c>
      <c r="F29" s="511">
        <f t="shared" si="14"/>
        <v>5044641.0926587982</v>
      </c>
      <c r="G29" s="512">
        <f t="shared" si="15"/>
        <v>760188.06461545883</v>
      </c>
      <c r="H29" s="478">
        <f t="shared" si="16"/>
        <v>760188.06461545883</v>
      </c>
      <c r="I29" s="501">
        <f t="shared" si="6"/>
        <v>0</v>
      </c>
      <c r="J29" s="501"/>
      <c r="K29" s="513"/>
      <c r="L29" s="505">
        <f t="shared" si="17"/>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5044641.0926587982</v>
      </c>
      <c r="E30" s="510">
        <f t="shared" si="13"/>
        <v>212067.91176470587</v>
      </c>
      <c r="F30" s="511">
        <f t="shared" si="14"/>
        <v>4832573.1808940927</v>
      </c>
      <c r="G30" s="512">
        <f t="shared" si="15"/>
        <v>737620.40210214746</v>
      </c>
      <c r="H30" s="478">
        <f t="shared" si="16"/>
        <v>737620.40210214746</v>
      </c>
      <c r="I30" s="501">
        <f t="shared" si="6"/>
        <v>0</v>
      </c>
      <c r="J30" s="501"/>
      <c r="K30" s="513"/>
      <c r="L30" s="505">
        <f t="shared" si="17"/>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4832573.1808940927</v>
      </c>
      <c r="E31" s="510">
        <f t="shared" si="13"/>
        <v>212067.91176470587</v>
      </c>
      <c r="F31" s="511">
        <f t="shared" si="14"/>
        <v>4620505.2691293871</v>
      </c>
      <c r="G31" s="512">
        <f t="shared" si="15"/>
        <v>715052.73958883609</v>
      </c>
      <c r="H31" s="478">
        <f t="shared" si="16"/>
        <v>715052.73958883609</v>
      </c>
      <c r="I31" s="501">
        <f t="shared" si="6"/>
        <v>0</v>
      </c>
      <c r="J31" s="501"/>
      <c r="K31" s="513"/>
      <c r="L31" s="505">
        <f t="shared" si="17"/>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4620505.2691293871</v>
      </c>
      <c r="E32" s="510">
        <f>IF(+$I$14&lt;F31,$I$14,D32)</f>
        <v>212067.91176470587</v>
      </c>
      <c r="F32" s="511">
        <f>+D32-E32</f>
        <v>4408437.3573646815</v>
      </c>
      <c r="G32" s="512">
        <f t="shared" si="15"/>
        <v>692485.07707552472</v>
      </c>
      <c r="H32" s="478">
        <f t="shared" si="16"/>
        <v>692485.07707552472</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4408437.3573646815</v>
      </c>
      <c r="E33" s="510">
        <f>IF(+$I$14&lt;F32,$I$14,D33)</f>
        <v>212067.91176470587</v>
      </c>
      <c r="F33" s="511">
        <f>+D33-E33</f>
        <v>4196369.445599976</v>
      </c>
      <c r="G33" s="512">
        <f t="shared" si="15"/>
        <v>669917.41456221335</v>
      </c>
      <c r="H33" s="478">
        <f t="shared" si="16"/>
        <v>669917.41456221335</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2030</v>
      </c>
      <c r="D34" s="515">
        <f>IF(F33+SUM(E$17:E33)=D$10,F33,D$10-SUM(E$17:E33))</f>
        <v>4196369.445599976</v>
      </c>
      <c r="E34" s="516">
        <f t="shared" si="13"/>
        <v>212067.91176470587</v>
      </c>
      <c r="F34" s="517">
        <f t="shared" si="14"/>
        <v>3984301.53383527</v>
      </c>
      <c r="G34" s="512">
        <f t="shared" si="15"/>
        <v>647349.75204890198</v>
      </c>
      <c r="H34" s="478">
        <f t="shared" si="16"/>
        <v>647349.75204890198</v>
      </c>
      <c r="I34" s="520">
        <f t="shared" si="6"/>
        <v>0</v>
      </c>
      <c r="J34" s="520"/>
      <c r="K34" s="521"/>
      <c r="L34" s="522">
        <f t="shared" si="17"/>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3984301.53383527</v>
      </c>
      <c r="E35" s="510">
        <f t="shared" si="13"/>
        <v>212067.91176470587</v>
      </c>
      <c r="F35" s="511">
        <f t="shared" si="14"/>
        <v>3772233.622070564</v>
      </c>
      <c r="G35" s="512">
        <f t="shared" si="15"/>
        <v>624782.08953559049</v>
      </c>
      <c r="H35" s="478">
        <f t="shared" si="16"/>
        <v>624782.08953559049</v>
      </c>
      <c r="I35" s="501">
        <f t="shared" si="6"/>
        <v>0</v>
      </c>
      <c r="J35" s="501"/>
      <c r="K35" s="513"/>
      <c r="L35" s="505">
        <f t="shared" si="17"/>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3772233.622070564</v>
      </c>
      <c r="E36" s="510">
        <f t="shared" si="13"/>
        <v>212067.91176470587</v>
      </c>
      <c r="F36" s="511">
        <f t="shared" si="14"/>
        <v>3560165.7103058579</v>
      </c>
      <c r="G36" s="512">
        <f t="shared" si="15"/>
        <v>602214.42702227912</v>
      </c>
      <c r="H36" s="478">
        <f t="shared" si="16"/>
        <v>602214.42702227912</v>
      </c>
      <c r="I36" s="501">
        <f t="shared" si="6"/>
        <v>0</v>
      </c>
      <c r="J36" s="501"/>
      <c r="K36" s="513"/>
      <c r="L36" s="505">
        <f t="shared" si="17"/>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3560165.7103058579</v>
      </c>
      <c r="E37" s="510">
        <f t="shared" si="13"/>
        <v>212067.91176470587</v>
      </c>
      <c r="F37" s="511">
        <f t="shared" si="14"/>
        <v>3348097.7985411519</v>
      </c>
      <c r="G37" s="512">
        <f t="shared" si="15"/>
        <v>579646.76450896764</v>
      </c>
      <c r="H37" s="478">
        <f t="shared" si="16"/>
        <v>579646.76450896764</v>
      </c>
      <c r="I37" s="501">
        <f t="shared" si="6"/>
        <v>0</v>
      </c>
      <c r="J37" s="501"/>
      <c r="K37" s="513"/>
      <c r="L37" s="505">
        <f t="shared" si="17"/>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3348097.7985411519</v>
      </c>
      <c r="E38" s="510">
        <f t="shared" si="13"/>
        <v>212067.91176470587</v>
      </c>
      <c r="F38" s="511">
        <f t="shared" si="14"/>
        <v>3136029.8867764459</v>
      </c>
      <c r="G38" s="512">
        <f t="shared" si="15"/>
        <v>557079.10199565627</v>
      </c>
      <c r="H38" s="478">
        <f t="shared" si="16"/>
        <v>557079.10199565627</v>
      </c>
      <c r="I38" s="501">
        <f t="shared" si="6"/>
        <v>0</v>
      </c>
      <c r="J38" s="501"/>
      <c r="K38" s="513"/>
      <c r="L38" s="505">
        <f t="shared" si="17"/>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3136029.8867764459</v>
      </c>
      <c r="E39" s="510">
        <f t="shared" si="13"/>
        <v>212067.91176470587</v>
      </c>
      <c r="F39" s="511">
        <f t="shared" si="14"/>
        <v>2923961.9750117399</v>
      </c>
      <c r="G39" s="512">
        <f t="shared" si="15"/>
        <v>534511.43948234478</v>
      </c>
      <c r="H39" s="478">
        <f t="shared" si="16"/>
        <v>534511.43948234478</v>
      </c>
      <c r="I39" s="501">
        <f t="shared" si="6"/>
        <v>0</v>
      </c>
      <c r="J39" s="501"/>
      <c r="K39" s="513"/>
      <c r="L39" s="505">
        <f t="shared" si="17"/>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2923961.9750117399</v>
      </c>
      <c r="E40" s="510">
        <f t="shared" si="13"/>
        <v>212067.91176470587</v>
      </c>
      <c r="F40" s="511">
        <f t="shared" si="14"/>
        <v>2711894.0632470339</v>
      </c>
      <c r="G40" s="512">
        <f t="shared" si="15"/>
        <v>511943.77696903341</v>
      </c>
      <c r="H40" s="478">
        <f t="shared" si="16"/>
        <v>511943.77696903341</v>
      </c>
      <c r="I40" s="501">
        <f t="shared" si="6"/>
        <v>0</v>
      </c>
      <c r="J40" s="501"/>
      <c r="K40" s="513"/>
      <c r="L40" s="505">
        <f t="shared" si="17"/>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2711894.0632470339</v>
      </c>
      <c r="E41" s="510">
        <f t="shared" si="13"/>
        <v>212067.91176470587</v>
      </c>
      <c r="F41" s="511">
        <f t="shared" si="14"/>
        <v>2499826.1514823278</v>
      </c>
      <c r="G41" s="512">
        <f t="shared" si="15"/>
        <v>489376.11445572192</v>
      </c>
      <c r="H41" s="478">
        <f t="shared" si="16"/>
        <v>489376.11445572192</v>
      </c>
      <c r="I41" s="501">
        <f t="shared" si="6"/>
        <v>0</v>
      </c>
      <c r="J41" s="501"/>
      <c r="K41" s="513"/>
      <c r="L41" s="505">
        <f t="shared" si="17"/>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2499826.1514823278</v>
      </c>
      <c r="E42" s="510">
        <f t="shared" si="13"/>
        <v>212067.91176470587</v>
      </c>
      <c r="F42" s="511">
        <f t="shared" si="14"/>
        <v>2287758.2397176218</v>
      </c>
      <c r="G42" s="512">
        <f t="shared" si="15"/>
        <v>466808.45194241049</v>
      </c>
      <c r="H42" s="478">
        <f t="shared" si="16"/>
        <v>466808.45194241049</v>
      </c>
      <c r="I42" s="501">
        <f t="shared" si="6"/>
        <v>0</v>
      </c>
      <c r="J42" s="501"/>
      <c r="K42" s="513"/>
      <c r="L42" s="505">
        <f t="shared" si="17"/>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2287758.2397176218</v>
      </c>
      <c r="E43" s="510">
        <f t="shared" si="13"/>
        <v>212067.91176470587</v>
      </c>
      <c r="F43" s="511">
        <f t="shared" si="14"/>
        <v>2075690.327952916</v>
      </c>
      <c r="G43" s="512">
        <f t="shared" si="15"/>
        <v>444240.78942909907</v>
      </c>
      <c r="H43" s="478">
        <f t="shared" si="16"/>
        <v>444240.78942909907</v>
      </c>
      <c r="I43" s="501">
        <f t="shared" si="6"/>
        <v>0</v>
      </c>
      <c r="J43" s="501"/>
      <c r="K43" s="513"/>
      <c r="L43" s="505">
        <f t="shared" si="17"/>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2075690.327952916</v>
      </c>
      <c r="E44" s="510">
        <f t="shared" si="13"/>
        <v>212067.91176470587</v>
      </c>
      <c r="F44" s="511">
        <f t="shared" si="14"/>
        <v>1863622.4161882102</v>
      </c>
      <c r="G44" s="512">
        <f t="shared" si="15"/>
        <v>421673.12691578764</v>
      </c>
      <c r="H44" s="478">
        <f t="shared" si="16"/>
        <v>421673.12691578764</v>
      </c>
      <c r="I44" s="501">
        <f t="shared" si="6"/>
        <v>0</v>
      </c>
      <c r="J44" s="501"/>
      <c r="K44" s="513"/>
      <c r="L44" s="505">
        <f t="shared" si="17"/>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1863622.4161882102</v>
      </c>
      <c r="E45" s="510">
        <f t="shared" si="13"/>
        <v>212067.91176470587</v>
      </c>
      <c r="F45" s="511">
        <f t="shared" si="14"/>
        <v>1651554.5044235045</v>
      </c>
      <c r="G45" s="512">
        <f t="shared" si="15"/>
        <v>399105.46440247627</v>
      </c>
      <c r="H45" s="478">
        <f t="shared" si="16"/>
        <v>399105.46440247627</v>
      </c>
      <c r="I45" s="501">
        <f t="shared" si="6"/>
        <v>0</v>
      </c>
      <c r="J45" s="501"/>
      <c r="K45" s="513"/>
      <c r="L45" s="505">
        <f t="shared" si="17"/>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1651554.5044235045</v>
      </c>
      <c r="E46" s="510">
        <f t="shared" si="13"/>
        <v>212067.91176470587</v>
      </c>
      <c r="F46" s="511">
        <f t="shared" si="14"/>
        <v>1439486.5926587987</v>
      </c>
      <c r="G46" s="512">
        <f t="shared" si="15"/>
        <v>376537.80188916484</v>
      </c>
      <c r="H46" s="478">
        <f t="shared" si="16"/>
        <v>376537.80188916484</v>
      </c>
      <c r="I46" s="501">
        <f t="shared" si="6"/>
        <v>0</v>
      </c>
      <c r="J46" s="501"/>
      <c r="K46" s="513"/>
      <c r="L46" s="505">
        <f t="shared" si="17"/>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1439486.5926587987</v>
      </c>
      <c r="E47" s="510">
        <f t="shared" si="13"/>
        <v>212067.91176470587</v>
      </c>
      <c r="F47" s="511">
        <f t="shared" si="14"/>
        <v>1227418.6808940929</v>
      </c>
      <c r="G47" s="512">
        <f t="shared" si="15"/>
        <v>353970.13937585347</v>
      </c>
      <c r="H47" s="478">
        <f t="shared" si="16"/>
        <v>353970.13937585347</v>
      </c>
      <c r="I47" s="501">
        <f t="shared" si="6"/>
        <v>0</v>
      </c>
      <c r="J47" s="501"/>
      <c r="K47" s="513"/>
      <c r="L47" s="505">
        <f t="shared" si="17"/>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1227418.6808940929</v>
      </c>
      <c r="E48" s="510">
        <f t="shared" si="13"/>
        <v>212067.91176470587</v>
      </c>
      <c r="F48" s="511">
        <f t="shared" si="14"/>
        <v>1015350.769129387</v>
      </c>
      <c r="G48" s="512">
        <f t="shared" si="15"/>
        <v>331402.47686254204</v>
      </c>
      <c r="H48" s="478">
        <f t="shared" si="16"/>
        <v>331402.47686254204</v>
      </c>
      <c r="I48" s="501">
        <f t="shared" si="6"/>
        <v>0</v>
      </c>
      <c r="J48" s="501"/>
      <c r="K48" s="513"/>
      <c r="L48" s="505">
        <f t="shared" si="17"/>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1015350.769129387</v>
      </c>
      <c r="E49" s="510">
        <f t="shared" si="13"/>
        <v>212067.91176470587</v>
      </c>
      <c r="F49" s="511">
        <f t="shared" si="14"/>
        <v>803282.85736468108</v>
      </c>
      <c r="G49" s="512">
        <f t="shared" si="15"/>
        <v>308834.81434923061</v>
      </c>
      <c r="H49" s="478">
        <f t="shared" si="16"/>
        <v>308834.81434923061</v>
      </c>
      <c r="I49" s="501">
        <f t="shared" si="6"/>
        <v>0</v>
      </c>
      <c r="J49" s="501"/>
      <c r="K49" s="513"/>
      <c r="L49" s="505">
        <f t="shared" si="17"/>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803282.85736468108</v>
      </c>
      <c r="E50" s="510">
        <f t="shared" si="13"/>
        <v>212067.91176470587</v>
      </c>
      <c r="F50" s="511">
        <f t="shared" si="14"/>
        <v>591214.94559997518</v>
      </c>
      <c r="G50" s="512">
        <f t="shared" si="15"/>
        <v>286267.15183591924</v>
      </c>
      <c r="H50" s="478">
        <f t="shared" si="16"/>
        <v>286267.15183591924</v>
      </c>
      <c r="I50" s="501">
        <f t="shared" si="6"/>
        <v>0</v>
      </c>
      <c r="J50" s="501"/>
      <c r="K50" s="513"/>
      <c r="L50" s="505">
        <f t="shared" si="17"/>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591214.94559997518</v>
      </c>
      <c r="E51" s="510">
        <f t="shared" si="13"/>
        <v>212067.91176470587</v>
      </c>
      <c r="F51" s="511">
        <f t="shared" si="14"/>
        <v>379147.03383526928</v>
      </c>
      <c r="G51" s="512">
        <f t="shared" si="15"/>
        <v>263699.48932260781</v>
      </c>
      <c r="H51" s="478">
        <f t="shared" si="16"/>
        <v>263699.48932260781</v>
      </c>
      <c r="I51" s="501">
        <f t="shared" si="6"/>
        <v>0</v>
      </c>
      <c r="J51" s="501"/>
      <c r="K51" s="513"/>
      <c r="L51" s="505">
        <f t="shared" si="17"/>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379147.03383526928</v>
      </c>
      <c r="E52" s="510">
        <f t="shared" si="13"/>
        <v>212067.91176470587</v>
      </c>
      <c r="F52" s="511">
        <f t="shared" si="14"/>
        <v>167079.1220705634</v>
      </c>
      <c r="G52" s="512">
        <f t="shared" si="15"/>
        <v>241131.82680929638</v>
      </c>
      <c r="H52" s="478">
        <f t="shared" si="16"/>
        <v>241131.82680929638</v>
      </c>
      <c r="I52" s="501">
        <f t="shared" si="6"/>
        <v>0</v>
      </c>
      <c r="J52" s="501"/>
      <c r="K52" s="513"/>
      <c r="L52" s="505">
        <f t="shared" si="17"/>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167079.1220705634</v>
      </c>
      <c r="E53" s="510">
        <f t="shared" si="13"/>
        <v>167079.1220705634</v>
      </c>
      <c r="F53" s="511">
        <f t="shared" si="14"/>
        <v>0</v>
      </c>
      <c r="G53" s="512">
        <f t="shared" si="15"/>
        <v>175969.1639645308</v>
      </c>
      <c r="H53" s="478">
        <f t="shared" si="16"/>
        <v>175969.1639645308</v>
      </c>
      <c r="I53" s="501">
        <f t="shared" si="6"/>
        <v>0</v>
      </c>
      <c r="J53" s="501"/>
      <c r="K53" s="513"/>
      <c r="L53" s="505">
        <f t="shared" si="17"/>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0</v>
      </c>
      <c r="E54" s="510">
        <f t="shared" si="13"/>
        <v>0</v>
      </c>
      <c r="F54" s="511">
        <f t="shared" si="14"/>
        <v>0</v>
      </c>
      <c r="G54" s="512">
        <f t="shared" si="15"/>
        <v>0</v>
      </c>
      <c r="H54" s="478">
        <f t="shared" si="16"/>
        <v>0</v>
      </c>
      <c r="I54" s="501">
        <f t="shared" si="6"/>
        <v>0</v>
      </c>
      <c r="J54" s="501"/>
      <c r="K54" s="513"/>
      <c r="L54" s="505">
        <f t="shared" si="17"/>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0</v>
      </c>
      <c r="E55" s="510">
        <f t="shared" si="13"/>
        <v>0</v>
      </c>
      <c r="F55" s="511">
        <f t="shared" si="14"/>
        <v>0</v>
      </c>
      <c r="G55" s="512">
        <f t="shared" si="15"/>
        <v>0</v>
      </c>
      <c r="H55" s="478">
        <f t="shared" si="16"/>
        <v>0</v>
      </c>
      <c r="I55" s="501">
        <f t="shared" si="6"/>
        <v>0</v>
      </c>
      <c r="J55" s="501"/>
      <c r="K55" s="513"/>
      <c r="L55" s="505">
        <f t="shared" si="17"/>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0</v>
      </c>
      <c r="E56" s="510">
        <f t="shared" si="13"/>
        <v>0</v>
      </c>
      <c r="F56" s="511">
        <f t="shared" si="14"/>
        <v>0</v>
      </c>
      <c r="G56" s="512">
        <f t="shared" si="15"/>
        <v>0</v>
      </c>
      <c r="H56" s="478">
        <f t="shared" si="16"/>
        <v>0</v>
      </c>
      <c r="I56" s="501">
        <f t="shared" si="6"/>
        <v>0</v>
      </c>
      <c r="J56" s="501"/>
      <c r="K56" s="513"/>
      <c r="L56" s="505">
        <f t="shared" si="17"/>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0</v>
      </c>
      <c r="E57" s="510">
        <f t="shared" si="13"/>
        <v>0</v>
      </c>
      <c r="F57" s="511">
        <f t="shared" si="14"/>
        <v>0</v>
      </c>
      <c r="G57" s="512">
        <f t="shared" si="15"/>
        <v>0</v>
      </c>
      <c r="H57" s="478">
        <f t="shared" si="16"/>
        <v>0</v>
      </c>
      <c r="I57" s="501">
        <f t="shared" si="6"/>
        <v>0</v>
      </c>
      <c r="J57" s="501"/>
      <c r="K57" s="513"/>
      <c r="L57" s="505">
        <f t="shared" si="17"/>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0</v>
      </c>
      <c r="E58" s="510">
        <f t="shared" si="13"/>
        <v>0</v>
      </c>
      <c r="F58" s="511">
        <f t="shared" si="14"/>
        <v>0</v>
      </c>
      <c r="G58" s="512">
        <f t="shared" si="15"/>
        <v>0</v>
      </c>
      <c r="H58" s="478">
        <f t="shared" si="16"/>
        <v>0</v>
      </c>
      <c r="I58" s="501">
        <f t="shared" si="6"/>
        <v>0</v>
      </c>
      <c r="J58" s="501"/>
      <c r="K58" s="513"/>
      <c r="L58" s="505">
        <f t="shared" si="17"/>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0</v>
      </c>
      <c r="E59" s="510">
        <f t="shared" si="13"/>
        <v>0</v>
      </c>
      <c r="F59" s="511">
        <f t="shared" si="14"/>
        <v>0</v>
      </c>
      <c r="G59" s="512">
        <f t="shared" si="15"/>
        <v>0</v>
      </c>
      <c r="H59" s="478">
        <f t="shared" si="16"/>
        <v>0</v>
      </c>
      <c r="I59" s="501">
        <f t="shared" si="6"/>
        <v>0</v>
      </c>
      <c r="J59" s="501"/>
      <c r="K59" s="513"/>
      <c r="L59" s="505">
        <f t="shared" si="17"/>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13"/>
        <v>0</v>
      </c>
      <c r="F60" s="511">
        <f t="shared" si="14"/>
        <v>0</v>
      </c>
      <c r="G60" s="512">
        <f t="shared" si="15"/>
        <v>0</v>
      </c>
      <c r="H60" s="478">
        <f t="shared" si="16"/>
        <v>0</v>
      </c>
      <c r="I60" s="501">
        <f t="shared" si="6"/>
        <v>0</v>
      </c>
      <c r="J60" s="501"/>
      <c r="K60" s="513"/>
      <c r="L60" s="505">
        <f t="shared" si="17"/>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13"/>
        <v>0</v>
      </c>
      <c r="F61" s="511">
        <f t="shared" si="14"/>
        <v>0</v>
      </c>
      <c r="G61" s="512">
        <f t="shared" si="15"/>
        <v>0</v>
      </c>
      <c r="H61" s="478">
        <f t="shared" si="16"/>
        <v>0</v>
      </c>
      <c r="I61" s="501">
        <f t="shared" si="6"/>
        <v>0</v>
      </c>
      <c r="J61" s="501"/>
      <c r="K61" s="513"/>
      <c r="L61" s="505">
        <f t="shared" si="17"/>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13"/>
        <v>0</v>
      </c>
      <c r="F62" s="511">
        <f t="shared" si="14"/>
        <v>0</v>
      </c>
      <c r="G62" s="512">
        <f t="shared" si="15"/>
        <v>0</v>
      </c>
      <c r="H62" s="478">
        <f t="shared" si="16"/>
        <v>0</v>
      </c>
      <c r="I62" s="501">
        <f t="shared" si="6"/>
        <v>0</v>
      </c>
      <c r="J62" s="501"/>
      <c r="K62" s="513"/>
      <c r="L62" s="505">
        <f t="shared" si="17"/>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13"/>
        <v>0</v>
      </c>
      <c r="F63" s="511">
        <f t="shared" si="14"/>
        <v>0</v>
      </c>
      <c r="G63" s="512">
        <f t="shared" si="15"/>
        <v>0</v>
      </c>
      <c r="H63" s="478">
        <f t="shared" si="16"/>
        <v>0</v>
      </c>
      <c r="I63" s="501">
        <f t="shared" si="6"/>
        <v>0</v>
      </c>
      <c r="J63" s="501"/>
      <c r="K63" s="513"/>
      <c r="L63" s="505">
        <f t="shared" si="17"/>
        <v>0</v>
      </c>
      <c r="M63" s="513"/>
      <c r="N63" s="505">
        <f t="shared" si="4"/>
        <v>0</v>
      </c>
      <c r="O63" s="505">
        <f t="shared" si="5"/>
        <v>0</v>
      </c>
      <c r="P63" s="279"/>
      <c r="R63" s="244"/>
      <c r="S63" s="244"/>
      <c r="T63" s="244"/>
      <c r="U63" s="244"/>
    </row>
    <row r="64" spans="2:21" ht="12.5">
      <c r="B64" s="145" t="str">
        <f>IF(D64=F63,"","IU")</f>
        <v/>
      </c>
      <c r="C64" s="496">
        <f>IF(D11="","-",+C63+1)</f>
        <v>2060</v>
      </c>
      <c r="D64" s="509">
        <f>IF(F63+SUM(E$17:E63)=D$10,F63,D$10-SUM(E$17:E63))</f>
        <v>0</v>
      </c>
      <c r="E64" s="510">
        <f t="shared" si="13"/>
        <v>0</v>
      </c>
      <c r="F64" s="511">
        <f t="shared" si="14"/>
        <v>0</v>
      </c>
      <c r="G64" s="512">
        <f t="shared" si="15"/>
        <v>0</v>
      </c>
      <c r="H64" s="478">
        <f t="shared" si="16"/>
        <v>0</v>
      </c>
      <c r="I64" s="501">
        <f t="shared" si="6"/>
        <v>0</v>
      </c>
      <c r="J64" s="501"/>
      <c r="K64" s="513"/>
      <c r="L64" s="505">
        <f t="shared" si="17"/>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13"/>
        <v>0</v>
      </c>
      <c r="F65" s="511">
        <f t="shared" si="14"/>
        <v>0</v>
      </c>
      <c r="G65" s="512">
        <f t="shared" si="15"/>
        <v>0</v>
      </c>
      <c r="H65" s="478">
        <f t="shared" si="16"/>
        <v>0</v>
      </c>
      <c r="I65" s="501">
        <f t="shared" si="6"/>
        <v>0</v>
      </c>
      <c r="J65" s="501"/>
      <c r="K65" s="513"/>
      <c r="L65" s="505">
        <f t="shared" si="17"/>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13"/>
        <v>0</v>
      </c>
      <c r="F66" s="511">
        <f t="shared" si="14"/>
        <v>0</v>
      </c>
      <c r="G66" s="512">
        <f t="shared" si="15"/>
        <v>0</v>
      </c>
      <c r="H66" s="478">
        <f t="shared" si="16"/>
        <v>0</v>
      </c>
      <c r="I66" s="501">
        <f t="shared" si="6"/>
        <v>0</v>
      </c>
      <c r="J66" s="501"/>
      <c r="K66" s="513"/>
      <c r="L66" s="505">
        <f t="shared" si="17"/>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13"/>
        <v>0</v>
      </c>
      <c r="F67" s="511">
        <f t="shared" si="14"/>
        <v>0</v>
      </c>
      <c r="G67" s="512">
        <f t="shared" si="15"/>
        <v>0</v>
      </c>
      <c r="H67" s="478">
        <f t="shared" si="16"/>
        <v>0</v>
      </c>
      <c r="I67" s="501">
        <f t="shared" si="6"/>
        <v>0</v>
      </c>
      <c r="J67" s="501"/>
      <c r="K67" s="513"/>
      <c r="L67" s="505">
        <f t="shared" si="17"/>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13"/>
        <v>0</v>
      </c>
      <c r="F68" s="511">
        <f t="shared" si="14"/>
        <v>0</v>
      </c>
      <c r="G68" s="512">
        <f t="shared" si="15"/>
        <v>0</v>
      </c>
      <c r="H68" s="478">
        <f t="shared" si="16"/>
        <v>0</v>
      </c>
      <c r="I68" s="501">
        <f t="shared" si="6"/>
        <v>0</v>
      </c>
      <c r="J68" s="501"/>
      <c r="K68" s="513"/>
      <c r="L68" s="505">
        <f t="shared" si="17"/>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13"/>
        <v>0</v>
      </c>
      <c r="F69" s="511">
        <f t="shared" si="14"/>
        <v>0</v>
      </c>
      <c r="G69" s="512">
        <f t="shared" si="15"/>
        <v>0</v>
      </c>
      <c r="H69" s="478">
        <f t="shared" si="16"/>
        <v>0</v>
      </c>
      <c r="I69" s="501">
        <f t="shared" si="6"/>
        <v>0</v>
      </c>
      <c r="J69" s="501"/>
      <c r="K69" s="513"/>
      <c r="L69" s="505">
        <f t="shared" si="17"/>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13"/>
        <v>0</v>
      </c>
      <c r="F70" s="511">
        <f t="shared" si="14"/>
        <v>0</v>
      </c>
      <c r="G70" s="512">
        <f t="shared" si="15"/>
        <v>0</v>
      </c>
      <c r="H70" s="478">
        <f t="shared" si="16"/>
        <v>0</v>
      </c>
      <c r="I70" s="501">
        <f t="shared" si="6"/>
        <v>0</v>
      </c>
      <c r="J70" s="501"/>
      <c r="K70" s="513"/>
      <c r="L70" s="505">
        <f t="shared" si="17"/>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13"/>
        <v>0</v>
      </c>
      <c r="F71" s="511">
        <f t="shared" si="14"/>
        <v>0</v>
      </c>
      <c r="G71" s="512">
        <f t="shared" si="15"/>
        <v>0</v>
      </c>
      <c r="H71" s="478">
        <f t="shared" si="16"/>
        <v>0</v>
      </c>
      <c r="I71" s="501">
        <f t="shared" si="6"/>
        <v>0</v>
      </c>
      <c r="J71" s="501"/>
      <c r="K71" s="513"/>
      <c r="L71" s="505">
        <f t="shared" si="17"/>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13"/>
        <v>0</v>
      </c>
      <c r="F72" s="511">
        <f t="shared" si="14"/>
        <v>0</v>
      </c>
      <c r="G72" s="512">
        <f t="shared" si="15"/>
        <v>0</v>
      </c>
      <c r="H72" s="478">
        <f t="shared" si="16"/>
        <v>0</v>
      </c>
      <c r="I72" s="501">
        <f t="shared" si="6"/>
        <v>0</v>
      </c>
      <c r="J72" s="501"/>
      <c r="K72" s="513"/>
      <c r="L72" s="505">
        <f t="shared" si="17"/>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13"/>
        <v>0</v>
      </c>
      <c r="F73" s="528">
        <f t="shared" si="14"/>
        <v>0</v>
      </c>
      <c r="G73" s="528">
        <f t="shared" si="15"/>
        <v>0</v>
      </c>
      <c r="H73" s="528">
        <f t="shared" si="16"/>
        <v>0</v>
      </c>
      <c r="I73" s="530">
        <f t="shared" si="6"/>
        <v>0</v>
      </c>
      <c r="J73" s="501"/>
      <c r="K73" s="531"/>
      <c r="L73" s="532">
        <f t="shared" si="17"/>
        <v>0</v>
      </c>
      <c r="M73" s="531"/>
      <c r="N73" s="532">
        <f t="shared" si="4"/>
        <v>0</v>
      </c>
      <c r="O73" s="532">
        <f t="shared" si="5"/>
        <v>0</v>
      </c>
      <c r="P73" s="279"/>
      <c r="R73" s="244"/>
      <c r="S73" s="244"/>
      <c r="T73" s="244"/>
      <c r="U73" s="244"/>
    </row>
    <row r="74" spans="2:21" ht="12.5">
      <c r="C74" s="350" t="s">
        <v>75</v>
      </c>
      <c r="D74" s="295"/>
      <c r="E74" s="295">
        <f>SUM(E17:E73)</f>
        <v>7210308.9999999981</v>
      </c>
      <c r="F74" s="295"/>
      <c r="G74" s="295">
        <f>SUM(G17:G73)</f>
        <v>21776953.575982422</v>
      </c>
      <c r="H74" s="295">
        <f>SUM(H17:H73)</f>
        <v>21776953.575982422</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10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862818.59359815018</v>
      </c>
      <c r="N88" s="545">
        <f>IF(J93&lt;D11,0,VLOOKUP(J93,C17:O73,11))</f>
        <v>862818.59359815018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918267.16489887808</v>
      </c>
      <c r="N89" s="549">
        <f>IF(J93&lt;D11,0,VLOOKUP(J93,C100:P155,7))</f>
        <v>918267.16489887808</v>
      </c>
      <c r="O89" s="550">
        <f>+N89-M89</f>
        <v>0</v>
      </c>
      <c r="P89" s="244"/>
      <c r="Q89" s="244"/>
      <c r="R89" s="244"/>
      <c r="S89" s="244"/>
      <c r="T89" s="244"/>
      <c r="U89" s="244"/>
    </row>
    <row r="90" spans="1:21" ht="13.5" thickBot="1">
      <c r="C90" s="455" t="s">
        <v>82</v>
      </c>
      <c r="D90" s="551" t="str">
        <f>+D7</f>
        <v>Wapanucka Customer Connection</v>
      </c>
      <c r="E90" s="244"/>
      <c r="F90" s="244"/>
      <c r="G90" s="244"/>
      <c r="H90" s="244"/>
      <c r="I90" s="326"/>
      <c r="J90" s="326"/>
      <c r="K90" s="552"/>
      <c r="L90" s="553" t="s">
        <v>135</v>
      </c>
      <c r="M90" s="554">
        <f>+M89-M88</f>
        <v>55448.571300727897</v>
      </c>
      <c r="N90" s="554">
        <f>+N89-N88</f>
        <v>55448.571300727897</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TP2012141</v>
      </c>
      <c r="E92" s="559"/>
      <c r="F92" s="559"/>
      <c r="G92" s="559"/>
      <c r="H92" s="559"/>
      <c r="I92" s="559"/>
      <c r="J92" s="559"/>
      <c r="K92" s="561"/>
      <c r="P92" s="469"/>
      <c r="Q92" s="244"/>
      <c r="R92" s="244"/>
      <c r="S92" s="244"/>
      <c r="T92" s="244"/>
      <c r="U92" s="244"/>
    </row>
    <row r="93" spans="1:21" ht="13">
      <c r="C93" s="473" t="s">
        <v>49</v>
      </c>
      <c r="D93" s="623">
        <v>7210309</v>
      </c>
      <c r="E93" s="249" t="s">
        <v>84</v>
      </c>
      <c r="H93" s="409"/>
      <c r="I93" s="409"/>
      <c r="J93" s="472">
        <f>+'OKT.WS.G.BPU.ATRR.True-up'!M16</f>
        <v>2020</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257511.03571428571</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8">IF(L100&lt;&gt;0,+H100-L100,0)</f>
        <v>0</v>
      </c>
      <c r="N100" s="502"/>
      <c r="O100" s="504">
        <f t="shared" ref="O100:O131" si="19">IF(N100&lt;&gt;0,+I100-N100,0)</f>
        <v>0</v>
      </c>
      <c r="P100" s="504">
        <f t="shared" ref="P100:P131" si="20">+O100-M100</f>
        <v>0</v>
      </c>
      <c r="Q100" s="244"/>
      <c r="R100" s="244"/>
      <c r="S100" s="244"/>
      <c r="T100" s="244"/>
      <c r="U100" s="244"/>
    </row>
    <row r="101" spans="1:21" ht="12.5">
      <c r="C101" s="496">
        <f>IF(D94="","-",+C100+1)</f>
        <v>2014</v>
      </c>
      <c r="D101" s="350"/>
      <c r="E101" s="510"/>
      <c r="F101" s="511"/>
      <c r="G101" s="511"/>
      <c r="H101" s="627"/>
      <c r="I101" s="628"/>
      <c r="J101" s="505"/>
      <c r="K101" s="505"/>
      <c r="L101" s="507"/>
      <c r="M101" s="508">
        <f t="shared" si="18"/>
        <v>0</v>
      </c>
      <c r="N101" s="507"/>
      <c r="O101" s="505">
        <f t="shared" si="19"/>
        <v>0</v>
      </c>
      <c r="P101" s="505">
        <f t="shared" si="20"/>
        <v>0</v>
      </c>
      <c r="Q101" s="244"/>
      <c r="R101" s="244"/>
      <c r="S101" s="244"/>
      <c r="T101" s="244"/>
      <c r="U101" s="244"/>
    </row>
    <row r="102" spans="1:21" ht="12.5">
      <c r="B102" s="145" t="str">
        <f t="shared" ref="B102:B155" si="21">IF(D102=F101,"","IU")</f>
        <v>IU</v>
      </c>
      <c r="C102" s="496">
        <f>IF(D94="","-",+C101+1)</f>
        <v>2015</v>
      </c>
      <c r="D102" s="497">
        <v>7076304.3908220464</v>
      </c>
      <c r="E102" s="499">
        <v>150018.20833333334</v>
      </c>
      <c r="F102" s="506">
        <v>6926286.1824887134</v>
      </c>
      <c r="G102" s="506">
        <v>7001295.2866553795</v>
      </c>
      <c r="H102" s="499">
        <v>929468.41200641857</v>
      </c>
      <c r="I102" s="500">
        <v>929468.41200641857</v>
      </c>
      <c r="J102" s="505">
        <v>0</v>
      </c>
      <c r="K102" s="505"/>
      <c r="L102" s="507">
        <f>H102</f>
        <v>929468.41200641857</v>
      </c>
      <c r="M102" s="505">
        <f>IF(L102&lt;&gt;0,+H102-L102,0)</f>
        <v>0</v>
      </c>
      <c r="N102" s="507">
        <f>I102</f>
        <v>929468.41200641857</v>
      </c>
      <c r="O102" s="505">
        <f t="shared" si="19"/>
        <v>0</v>
      </c>
      <c r="P102" s="505">
        <f t="shared" si="20"/>
        <v>0</v>
      </c>
      <c r="Q102" s="244"/>
      <c r="R102" s="244"/>
      <c r="S102" s="244"/>
      <c r="T102" s="244"/>
      <c r="U102" s="244"/>
    </row>
    <row r="103" spans="1:21" ht="12.5">
      <c r="B103" s="145" t="str">
        <f t="shared" si="21"/>
        <v>IU</v>
      </c>
      <c r="C103" s="496">
        <f>IF(D94="","-",+C102+1)</f>
        <v>2016</v>
      </c>
      <c r="D103" s="497">
        <v>7060290.791666667</v>
      </c>
      <c r="E103" s="499">
        <v>141378.60784313726</v>
      </c>
      <c r="F103" s="506">
        <v>6918912.1838235296</v>
      </c>
      <c r="G103" s="506">
        <v>6989601.4877450988</v>
      </c>
      <c r="H103" s="499">
        <v>898837.94259524392</v>
      </c>
      <c r="I103" s="500">
        <v>898837.94259524392</v>
      </c>
      <c r="J103" s="505">
        <f>+I103-H103</f>
        <v>0</v>
      </c>
      <c r="K103" s="505"/>
      <c r="L103" s="507">
        <f>H103</f>
        <v>898837.94259524392</v>
      </c>
      <c r="M103" s="505">
        <f>IF(L103&lt;&gt;0,+H103-L103,0)</f>
        <v>0</v>
      </c>
      <c r="N103" s="507">
        <f>I103</f>
        <v>898837.94259524392</v>
      </c>
      <c r="O103" s="505">
        <f>IF(N103&lt;&gt;0,+I103-N103,0)</f>
        <v>0</v>
      </c>
      <c r="P103" s="505">
        <f>+O103-M103</f>
        <v>0</v>
      </c>
      <c r="Q103" s="244"/>
      <c r="R103" s="244"/>
      <c r="S103" s="244"/>
      <c r="T103" s="244"/>
      <c r="U103" s="244"/>
    </row>
    <row r="104" spans="1:21" ht="12.5">
      <c r="B104" s="145" t="str">
        <f t="shared" si="21"/>
        <v/>
      </c>
      <c r="C104" s="496">
        <f>IF(D94="","-",+C103+1)</f>
        <v>2017</v>
      </c>
      <c r="D104" s="497">
        <v>6918912.1838235296</v>
      </c>
      <c r="E104" s="499">
        <v>180257.72500000001</v>
      </c>
      <c r="F104" s="506">
        <v>6738654.45882353</v>
      </c>
      <c r="G104" s="506">
        <v>6828783.3213235298</v>
      </c>
      <c r="H104" s="499">
        <v>981518.91752081981</v>
      </c>
      <c r="I104" s="500">
        <v>981518.91752081981</v>
      </c>
      <c r="J104" s="505">
        <f t="shared" ref="J104:J155" si="22">+I104-H104</f>
        <v>0</v>
      </c>
      <c r="K104" s="505"/>
      <c r="L104" s="507">
        <f>H104</f>
        <v>981518.91752081981</v>
      </c>
      <c r="M104" s="505">
        <f>IF(L104&lt;&gt;0,+H104-L104,0)</f>
        <v>0</v>
      </c>
      <c r="N104" s="507">
        <f>I104</f>
        <v>981518.91752081981</v>
      </c>
      <c r="O104" s="505">
        <f>IF(N104&lt;&gt;0,+I104-N104,0)</f>
        <v>0</v>
      </c>
      <c r="P104" s="505">
        <f>+O104-M104</f>
        <v>0</v>
      </c>
      <c r="Q104" s="244"/>
      <c r="R104" s="244"/>
      <c r="S104" s="244"/>
      <c r="T104" s="244"/>
      <c r="U104" s="244"/>
    </row>
    <row r="105" spans="1:21" ht="12.5">
      <c r="B105" s="145" t="str">
        <f t="shared" si="21"/>
        <v/>
      </c>
      <c r="C105" s="496">
        <f>IF(D94="","-",+C104+1)</f>
        <v>2018</v>
      </c>
      <c r="D105" s="497">
        <v>6738654.45882353</v>
      </c>
      <c r="E105" s="499">
        <v>200286.36111111112</v>
      </c>
      <c r="F105" s="506">
        <v>6538368.097712419</v>
      </c>
      <c r="G105" s="506">
        <v>6638511.278267974</v>
      </c>
      <c r="H105" s="499">
        <v>901063.87001696113</v>
      </c>
      <c r="I105" s="500">
        <v>901063.87001696113</v>
      </c>
      <c r="J105" s="505">
        <f t="shared" si="22"/>
        <v>0</v>
      </c>
      <c r="K105" s="505"/>
      <c r="L105" s="507">
        <f>H105</f>
        <v>901063.87001696113</v>
      </c>
      <c r="M105" s="505">
        <f>IF(L105&lt;&gt;0,+H105-L105,0)</f>
        <v>0</v>
      </c>
      <c r="N105" s="507">
        <f>I105</f>
        <v>901063.87001696113</v>
      </c>
      <c r="O105" s="505">
        <f>IF(N105&lt;&gt;0,+I105-N105,0)</f>
        <v>0</v>
      </c>
      <c r="P105" s="505">
        <f>+O105-M105</f>
        <v>0</v>
      </c>
      <c r="Q105" s="244"/>
      <c r="R105" s="244"/>
      <c r="S105" s="244"/>
      <c r="T105" s="244"/>
      <c r="U105" s="244"/>
    </row>
    <row r="106" spans="1:21" ht="12.5">
      <c r="B106" s="145" t="str">
        <f t="shared" si="21"/>
        <v/>
      </c>
      <c r="C106" s="496">
        <f>IF(D94="","-",+C105+1)</f>
        <v>2019</v>
      </c>
      <c r="D106" s="497">
        <v>6538368.097712419</v>
      </c>
      <c r="E106" s="499">
        <v>200286.36111111112</v>
      </c>
      <c r="F106" s="506">
        <v>6338081.736601308</v>
      </c>
      <c r="G106" s="506">
        <v>6438224.917156864</v>
      </c>
      <c r="H106" s="499">
        <v>879921.15121692908</v>
      </c>
      <c r="I106" s="500">
        <v>879921.15121692908</v>
      </c>
      <c r="J106" s="505">
        <f t="shared" si="22"/>
        <v>0</v>
      </c>
      <c r="K106" s="505"/>
      <c r="L106" s="507">
        <f>H106</f>
        <v>879921.15121692908</v>
      </c>
      <c r="M106" s="505">
        <f>IF(L106&lt;&gt;0,+H106-L106,0)</f>
        <v>0</v>
      </c>
      <c r="N106" s="507">
        <f>I106</f>
        <v>879921.15121692908</v>
      </c>
      <c r="O106" s="505">
        <f>IF(N106&lt;&gt;0,+I106-N106,0)</f>
        <v>0</v>
      </c>
      <c r="P106" s="505">
        <f t="shared" si="20"/>
        <v>0</v>
      </c>
      <c r="Q106" s="244"/>
      <c r="R106" s="244"/>
      <c r="S106" s="244"/>
      <c r="T106" s="244"/>
      <c r="U106" s="244"/>
    </row>
    <row r="107" spans="1:21" ht="12.5">
      <c r="B107" s="145" t="str">
        <f t="shared" si="21"/>
        <v/>
      </c>
      <c r="C107" s="496">
        <f>IF(D94="","-",+C106+1)</f>
        <v>2020</v>
      </c>
      <c r="D107" s="350">
        <f>IF(F106+SUM(E$100:E106)=D$93,F106,D$93-SUM(E$100:E106))</f>
        <v>6338081.736601308</v>
      </c>
      <c r="E107" s="629">
        <f t="shared" ref="E107:E155" si="23">IF(+$J$97&lt;F106,$J$97,D107)</f>
        <v>257511.03571428571</v>
      </c>
      <c r="F107" s="511">
        <f t="shared" ref="F107:F155" si="24">+D107-E107</f>
        <v>6080570.7008870225</v>
      </c>
      <c r="G107" s="511">
        <f t="shared" ref="G107:G155" si="25">+(F107+D107)/2</f>
        <v>6209326.2187441653</v>
      </c>
      <c r="H107" s="646">
        <f>(D107+F107)/2*J$95+E107</f>
        <v>918267.16489887808</v>
      </c>
      <c r="I107" s="630">
        <f t="shared" ref="I107:I155" si="26">+J$96*G107+E107</f>
        <v>918267.16489887808</v>
      </c>
      <c r="J107" s="505">
        <f t="shared" si="22"/>
        <v>0</v>
      </c>
      <c r="K107" s="505"/>
      <c r="L107" s="513"/>
      <c r="M107" s="505">
        <f t="shared" si="18"/>
        <v>0</v>
      </c>
      <c r="N107" s="513"/>
      <c r="O107" s="505">
        <f t="shared" si="19"/>
        <v>0</v>
      </c>
      <c r="P107" s="505">
        <f t="shared" si="20"/>
        <v>0</v>
      </c>
      <c r="Q107" s="244"/>
      <c r="R107" s="244"/>
      <c r="S107" s="244"/>
      <c r="T107" s="244"/>
      <c r="U107" s="244"/>
    </row>
    <row r="108" spans="1:21" ht="12.5">
      <c r="B108" s="145" t="str">
        <f t="shared" si="21"/>
        <v/>
      </c>
      <c r="C108" s="496">
        <f>IF(D94="","-",+C107+1)</f>
        <v>2021</v>
      </c>
      <c r="D108" s="350">
        <f>IF(F107+SUM(E$100:E107)=D$93,F107,D$93-SUM(E$100:E107))</f>
        <v>6080570.7008870225</v>
      </c>
      <c r="E108" s="629">
        <f t="shared" si="23"/>
        <v>257511.03571428571</v>
      </c>
      <c r="F108" s="511">
        <f t="shared" si="24"/>
        <v>5823059.6651727371</v>
      </c>
      <c r="G108" s="511">
        <f t="shared" si="25"/>
        <v>5951815.1830298798</v>
      </c>
      <c r="H108" s="646">
        <f t="shared" ref="H108:H155" si="27">(D108+F108)/2*J$95+E108</f>
        <v>890864.51456505491</v>
      </c>
      <c r="I108" s="630">
        <f t="shared" si="26"/>
        <v>890864.51456505491</v>
      </c>
      <c r="J108" s="505">
        <f t="shared" si="22"/>
        <v>0</v>
      </c>
      <c r="K108" s="505"/>
      <c r="L108" s="513"/>
      <c r="M108" s="505">
        <f t="shared" si="18"/>
        <v>0</v>
      </c>
      <c r="N108" s="513"/>
      <c r="O108" s="505">
        <f t="shared" si="19"/>
        <v>0</v>
      </c>
      <c r="P108" s="505">
        <f t="shared" si="20"/>
        <v>0</v>
      </c>
      <c r="Q108" s="244"/>
      <c r="R108" s="244"/>
      <c r="S108" s="244"/>
      <c r="T108" s="244"/>
      <c r="U108" s="244"/>
    </row>
    <row r="109" spans="1:21" ht="12.5">
      <c r="B109" s="145" t="str">
        <f t="shared" si="21"/>
        <v/>
      </c>
      <c r="C109" s="496">
        <f>IF(D94="","-",+C108+1)</f>
        <v>2022</v>
      </c>
      <c r="D109" s="350">
        <f>IF(F108+SUM(E$100:E108)=D$93,F108,D$93-SUM(E$100:E108))</f>
        <v>5823059.6651727371</v>
      </c>
      <c r="E109" s="629">
        <f t="shared" si="23"/>
        <v>257511.03571428571</v>
      </c>
      <c r="F109" s="511">
        <f t="shared" si="24"/>
        <v>5565548.6294584516</v>
      </c>
      <c r="G109" s="511">
        <f t="shared" si="25"/>
        <v>5694304.1473155944</v>
      </c>
      <c r="H109" s="646">
        <f t="shared" si="27"/>
        <v>863461.86423123174</v>
      </c>
      <c r="I109" s="630">
        <f t="shared" si="26"/>
        <v>863461.86423123174</v>
      </c>
      <c r="J109" s="505">
        <f t="shared" si="22"/>
        <v>0</v>
      </c>
      <c r="K109" s="505"/>
      <c r="L109" s="513"/>
      <c r="M109" s="505">
        <f t="shared" si="18"/>
        <v>0</v>
      </c>
      <c r="N109" s="513"/>
      <c r="O109" s="505">
        <f t="shared" si="19"/>
        <v>0</v>
      </c>
      <c r="P109" s="505">
        <f t="shared" si="20"/>
        <v>0</v>
      </c>
      <c r="Q109" s="244"/>
      <c r="R109" s="244"/>
      <c r="S109" s="244"/>
      <c r="T109" s="244"/>
      <c r="U109" s="244"/>
    </row>
    <row r="110" spans="1:21" ht="12.5">
      <c r="B110" s="145" t="str">
        <f t="shared" si="21"/>
        <v/>
      </c>
      <c r="C110" s="496">
        <f>IF(D94="","-",+C109+1)</f>
        <v>2023</v>
      </c>
      <c r="D110" s="350">
        <f>IF(F109+SUM(E$100:E109)=D$93,F109,D$93-SUM(E$100:E109))</f>
        <v>5565548.6294584516</v>
      </c>
      <c r="E110" s="629">
        <f t="shared" si="23"/>
        <v>257511.03571428571</v>
      </c>
      <c r="F110" s="511">
        <f t="shared" si="24"/>
        <v>5308037.5937441662</v>
      </c>
      <c r="G110" s="511">
        <f t="shared" si="25"/>
        <v>5436793.1116013089</v>
      </c>
      <c r="H110" s="646">
        <f t="shared" si="27"/>
        <v>836059.21389740868</v>
      </c>
      <c r="I110" s="630">
        <f t="shared" si="26"/>
        <v>836059.21389740868</v>
      </c>
      <c r="J110" s="505">
        <f t="shared" si="22"/>
        <v>0</v>
      </c>
      <c r="K110" s="505"/>
      <c r="L110" s="513"/>
      <c r="M110" s="505">
        <f t="shared" si="18"/>
        <v>0</v>
      </c>
      <c r="N110" s="513"/>
      <c r="O110" s="505">
        <f t="shared" si="19"/>
        <v>0</v>
      </c>
      <c r="P110" s="505">
        <f t="shared" si="20"/>
        <v>0</v>
      </c>
      <c r="Q110" s="244"/>
      <c r="R110" s="244"/>
      <c r="S110" s="244"/>
      <c r="T110" s="244"/>
      <c r="U110" s="244"/>
    </row>
    <row r="111" spans="1:21" ht="12.5">
      <c r="B111" s="145" t="str">
        <f t="shared" si="21"/>
        <v/>
      </c>
      <c r="C111" s="496">
        <f>IF(D94="","-",+C110+1)</f>
        <v>2024</v>
      </c>
      <c r="D111" s="350">
        <f>IF(F110+SUM(E$100:E110)=D$93,F110,D$93-SUM(E$100:E110))</f>
        <v>5308037.5937441662</v>
      </c>
      <c r="E111" s="629">
        <f t="shared" si="23"/>
        <v>257511.03571428571</v>
      </c>
      <c r="F111" s="511">
        <f t="shared" si="24"/>
        <v>5050526.5580298807</v>
      </c>
      <c r="G111" s="511">
        <f t="shared" si="25"/>
        <v>5179282.0758870235</v>
      </c>
      <c r="H111" s="646">
        <f t="shared" si="27"/>
        <v>808656.56356358551</v>
      </c>
      <c r="I111" s="630">
        <f t="shared" si="26"/>
        <v>808656.56356358551</v>
      </c>
      <c r="J111" s="505">
        <f t="shared" si="22"/>
        <v>0</v>
      </c>
      <c r="K111" s="505"/>
      <c r="L111" s="513"/>
      <c r="M111" s="505">
        <f t="shared" si="18"/>
        <v>0</v>
      </c>
      <c r="N111" s="513"/>
      <c r="O111" s="505">
        <f t="shared" si="19"/>
        <v>0</v>
      </c>
      <c r="P111" s="505">
        <f t="shared" si="20"/>
        <v>0</v>
      </c>
      <c r="Q111" s="244"/>
      <c r="R111" s="244"/>
      <c r="S111" s="244"/>
      <c r="T111" s="244"/>
      <c r="U111" s="244"/>
    </row>
    <row r="112" spans="1:21" ht="12.5">
      <c r="B112" s="145" t="str">
        <f t="shared" si="21"/>
        <v/>
      </c>
      <c r="C112" s="496">
        <f>IF(D94="","-",+C111+1)</f>
        <v>2025</v>
      </c>
      <c r="D112" s="350">
        <f>IF(F111+SUM(E$100:E111)=D$93,F111,D$93-SUM(E$100:E111))</f>
        <v>5050526.5580298807</v>
      </c>
      <c r="E112" s="629">
        <f t="shared" si="23"/>
        <v>257511.03571428571</v>
      </c>
      <c r="F112" s="511">
        <f t="shared" si="24"/>
        <v>4793015.5223155953</v>
      </c>
      <c r="G112" s="511">
        <f t="shared" si="25"/>
        <v>4921771.040172738</v>
      </c>
      <c r="H112" s="646">
        <f t="shared" si="27"/>
        <v>781253.91322976246</v>
      </c>
      <c r="I112" s="630">
        <f t="shared" si="26"/>
        <v>781253.91322976246</v>
      </c>
      <c r="J112" s="505">
        <f t="shared" si="22"/>
        <v>0</v>
      </c>
      <c r="K112" s="505"/>
      <c r="L112" s="513"/>
      <c r="M112" s="505">
        <f t="shared" si="18"/>
        <v>0</v>
      </c>
      <c r="N112" s="513"/>
      <c r="O112" s="505">
        <f t="shared" si="19"/>
        <v>0</v>
      </c>
      <c r="P112" s="505">
        <f t="shared" si="20"/>
        <v>0</v>
      </c>
      <c r="Q112" s="244"/>
      <c r="R112" s="244"/>
      <c r="S112" s="244"/>
      <c r="T112" s="244"/>
      <c r="U112" s="244"/>
    </row>
    <row r="113" spans="2:21" ht="12.5">
      <c r="B113" s="145" t="str">
        <f t="shared" si="21"/>
        <v/>
      </c>
      <c r="C113" s="496">
        <f>IF(D94="","-",+C112+1)</f>
        <v>2026</v>
      </c>
      <c r="D113" s="350">
        <f>IF(F112+SUM(E$100:E112)=D$93,F112,D$93-SUM(E$100:E112))</f>
        <v>4793015.5223155953</v>
      </c>
      <c r="E113" s="629">
        <f t="shared" si="23"/>
        <v>257511.03571428571</v>
      </c>
      <c r="F113" s="511">
        <f t="shared" si="24"/>
        <v>4535504.4866013099</v>
      </c>
      <c r="G113" s="511">
        <f t="shared" si="25"/>
        <v>4664260.0044584526</v>
      </c>
      <c r="H113" s="646">
        <f t="shared" si="27"/>
        <v>753851.26289593929</v>
      </c>
      <c r="I113" s="630">
        <f t="shared" si="26"/>
        <v>753851.26289593929</v>
      </c>
      <c r="J113" s="505">
        <f t="shared" si="22"/>
        <v>0</v>
      </c>
      <c r="K113" s="505"/>
      <c r="L113" s="513"/>
      <c r="M113" s="505">
        <f t="shared" si="18"/>
        <v>0</v>
      </c>
      <c r="N113" s="513"/>
      <c r="O113" s="505">
        <f t="shared" si="19"/>
        <v>0</v>
      </c>
      <c r="P113" s="505">
        <f t="shared" si="20"/>
        <v>0</v>
      </c>
      <c r="Q113" s="244"/>
      <c r="R113" s="244"/>
      <c r="S113" s="244"/>
      <c r="T113" s="244"/>
      <c r="U113" s="244"/>
    </row>
    <row r="114" spans="2:21" ht="12.5">
      <c r="B114" s="145" t="str">
        <f t="shared" si="21"/>
        <v/>
      </c>
      <c r="C114" s="496">
        <f>IF(D94="","-",+C113+1)</f>
        <v>2027</v>
      </c>
      <c r="D114" s="350">
        <f>IF(F113+SUM(E$100:E113)=D$93,F113,D$93-SUM(E$100:E113))</f>
        <v>4535504.4866013099</v>
      </c>
      <c r="E114" s="629">
        <f t="shared" si="23"/>
        <v>257511.03571428571</v>
      </c>
      <c r="F114" s="511">
        <f t="shared" si="24"/>
        <v>4277993.4508870244</v>
      </c>
      <c r="G114" s="511">
        <f t="shared" si="25"/>
        <v>4406748.9687441671</v>
      </c>
      <c r="H114" s="646">
        <f t="shared" si="27"/>
        <v>726448.61256211612</v>
      </c>
      <c r="I114" s="630">
        <f t="shared" si="26"/>
        <v>726448.61256211612</v>
      </c>
      <c r="J114" s="505">
        <f t="shared" si="22"/>
        <v>0</v>
      </c>
      <c r="K114" s="505"/>
      <c r="L114" s="513"/>
      <c r="M114" s="505">
        <f t="shared" si="18"/>
        <v>0</v>
      </c>
      <c r="N114" s="513"/>
      <c r="O114" s="505">
        <f t="shared" si="19"/>
        <v>0</v>
      </c>
      <c r="P114" s="505">
        <f t="shared" si="20"/>
        <v>0</v>
      </c>
      <c r="Q114" s="244"/>
      <c r="R114" s="244"/>
      <c r="S114" s="244"/>
      <c r="T114" s="244"/>
      <c r="U114" s="244"/>
    </row>
    <row r="115" spans="2:21" ht="12.5">
      <c r="B115" s="145" t="str">
        <f t="shared" si="21"/>
        <v/>
      </c>
      <c r="C115" s="496">
        <f>IF(D94="","-",+C114+1)</f>
        <v>2028</v>
      </c>
      <c r="D115" s="350">
        <f>IF(F114+SUM(E$100:E114)=D$93,F114,D$93-SUM(E$100:E114))</f>
        <v>4277993.4508870244</v>
      </c>
      <c r="E115" s="629">
        <f t="shared" si="23"/>
        <v>257511.03571428571</v>
      </c>
      <c r="F115" s="511">
        <f t="shared" si="24"/>
        <v>4020482.4151727385</v>
      </c>
      <c r="G115" s="511">
        <f t="shared" si="25"/>
        <v>4149237.9330298817</v>
      </c>
      <c r="H115" s="646">
        <f t="shared" si="27"/>
        <v>699045.96222829295</v>
      </c>
      <c r="I115" s="630">
        <f t="shared" si="26"/>
        <v>699045.96222829295</v>
      </c>
      <c r="J115" s="505">
        <f t="shared" si="22"/>
        <v>0</v>
      </c>
      <c r="K115" s="505"/>
      <c r="L115" s="513"/>
      <c r="M115" s="505">
        <f t="shared" si="18"/>
        <v>0</v>
      </c>
      <c r="N115" s="513"/>
      <c r="O115" s="505">
        <f t="shared" si="19"/>
        <v>0</v>
      </c>
      <c r="P115" s="505">
        <f t="shared" si="20"/>
        <v>0</v>
      </c>
      <c r="Q115" s="244"/>
      <c r="R115" s="244"/>
      <c r="S115" s="244"/>
      <c r="T115" s="244"/>
      <c r="U115" s="244"/>
    </row>
    <row r="116" spans="2:21" ht="12.5">
      <c r="B116" s="145" t="str">
        <f t="shared" si="21"/>
        <v/>
      </c>
      <c r="C116" s="496">
        <f>IF(D94="","-",+C115+1)</f>
        <v>2029</v>
      </c>
      <c r="D116" s="350">
        <f>IF(F115+SUM(E$100:E115)=D$93,F115,D$93-SUM(E$100:E115))</f>
        <v>4020482.4151727385</v>
      </c>
      <c r="E116" s="629">
        <f t="shared" si="23"/>
        <v>257511.03571428571</v>
      </c>
      <c r="F116" s="511">
        <f t="shared" si="24"/>
        <v>3762971.3794584526</v>
      </c>
      <c r="G116" s="511">
        <f t="shared" si="25"/>
        <v>3891726.8973155953</v>
      </c>
      <c r="H116" s="646">
        <f t="shared" si="27"/>
        <v>671643.31189446978</v>
      </c>
      <c r="I116" s="630">
        <f t="shared" si="26"/>
        <v>671643.31189446978</v>
      </c>
      <c r="J116" s="505">
        <f t="shared" si="22"/>
        <v>0</v>
      </c>
      <c r="K116" s="505"/>
      <c r="L116" s="513"/>
      <c r="M116" s="505">
        <f t="shared" si="18"/>
        <v>0</v>
      </c>
      <c r="N116" s="513"/>
      <c r="O116" s="505">
        <f t="shared" si="19"/>
        <v>0</v>
      </c>
      <c r="P116" s="505">
        <f t="shared" si="20"/>
        <v>0</v>
      </c>
      <c r="Q116" s="244"/>
      <c r="R116" s="244"/>
      <c r="S116" s="244"/>
      <c r="T116" s="244"/>
      <c r="U116" s="244"/>
    </row>
    <row r="117" spans="2:21" ht="12.5">
      <c r="B117" s="145" t="str">
        <f t="shared" si="21"/>
        <v/>
      </c>
      <c r="C117" s="496">
        <f>IF(D94="","-",+C116+1)</f>
        <v>2030</v>
      </c>
      <c r="D117" s="350">
        <f>IF(F116+SUM(E$100:E116)=D$93,F116,D$93-SUM(E$100:E116))</f>
        <v>3762971.3794584526</v>
      </c>
      <c r="E117" s="629">
        <f t="shared" si="23"/>
        <v>257511.03571428571</v>
      </c>
      <c r="F117" s="511">
        <f t="shared" si="24"/>
        <v>3505460.3437441667</v>
      </c>
      <c r="G117" s="511">
        <f t="shared" si="25"/>
        <v>3634215.8616013099</v>
      </c>
      <c r="H117" s="646">
        <f t="shared" si="27"/>
        <v>644240.66156064661</v>
      </c>
      <c r="I117" s="630">
        <f t="shared" si="26"/>
        <v>644240.66156064661</v>
      </c>
      <c r="J117" s="505">
        <f t="shared" si="22"/>
        <v>0</v>
      </c>
      <c r="K117" s="505"/>
      <c r="L117" s="513"/>
      <c r="M117" s="505">
        <f t="shared" si="18"/>
        <v>0</v>
      </c>
      <c r="N117" s="513"/>
      <c r="O117" s="505">
        <f t="shared" si="19"/>
        <v>0</v>
      </c>
      <c r="P117" s="505">
        <f t="shared" si="20"/>
        <v>0</v>
      </c>
      <c r="Q117" s="244"/>
      <c r="R117" s="244"/>
      <c r="S117" s="244"/>
      <c r="T117" s="244"/>
      <c r="U117" s="244"/>
    </row>
    <row r="118" spans="2:21" ht="12.5">
      <c r="B118" s="145" t="str">
        <f t="shared" si="21"/>
        <v/>
      </c>
      <c r="C118" s="496">
        <f>IF(D94="","-",+C117+1)</f>
        <v>2031</v>
      </c>
      <c r="D118" s="350">
        <f>IF(F117+SUM(E$100:E117)=D$93,F117,D$93-SUM(E$100:E117))</f>
        <v>3505460.3437441667</v>
      </c>
      <c r="E118" s="629">
        <f t="shared" si="23"/>
        <v>257511.03571428571</v>
      </c>
      <c r="F118" s="511">
        <f t="shared" si="24"/>
        <v>3247949.3080298807</v>
      </c>
      <c r="G118" s="511">
        <f t="shared" si="25"/>
        <v>3376704.8258870235</v>
      </c>
      <c r="H118" s="646">
        <f t="shared" si="27"/>
        <v>616838.01122682332</v>
      </c>
      <c r="I118" s="630">
        <f t="shared" si="26"/>
        <v>616838.01122682332</v>
      </c>
      <c r="J118" s="505">
        <f t="shared" si="22"/>
        <v>0</v>
      </c>
      <c r="K118" s="505"/>
      <c r="L118" s="513"/>
      <c r="M118" s="505">
        <f t="shared" si="18"/>
        <v>0</v>
      </c>
      <c r="N118" s="513"/>
      <c r="O118" s="505">
        <f t="shared" si="19"/>
        <v>0</v>
      </c>
      <c r="P118" s="505">
        <f t="shared" si="20"/>
        <v>0</v>
      </c>
      <c r="Q118" s="244"/>
      <c r="R118" s="244"/>
      <c r="S118" s="244"/>
      <c r="T118" s="244"/>
      <c r="U118" s="244"/>
    </row>
    <row r="119" spans="2:21" ht="12.5">
      <c r="B119" s="145" t="str">
        <f t="shared" si="21"/>
        <v/>
      </c>
      <c r="C119" s="496">
        <f>IF(D94="","-",+C118+1)</f>
        <v>2032</v>
      </c>
      <c r="D119" s="350">
        <f>IF(F118+SUM(E$100:E118)=D$93,F118,D$93-SUM(E$100:E118))</f>
        <v>3247949.3080298807</v>
      </c>
      <c r="E119" s="629">
        <f t="shared" si="23"/>
        <v>257511.03571428571</v>
      </c>
      <c r="F119" s="511">
        <f t="shared" si="24"/>
        <v>2990438.2723155948</v>
      </c>
      <c r="G119" s="511">
        <f t="shared" si="25"/>
        <v>3119193.790172738</v>
      </c>
      <c r="H119" s="646">
        <f t="shared" si="27"/>
        <v>589435.36089300027</v>
      </c>
      <c r="I119" s="630">
        <f t="shared" si="26"/>
        <v>589435.36089300027</v>
      </c>
      <c r="J119" s="505">
        <f t="shared" si="22"/>
        <v>0</v>
      </c>
      <c r="K119" s="505"/>
      <c r="L119" s="513"/>
      <c r="M119" s="505">
        <f t="shared" si="18"/>
        <v>0</v>
      </c>
      <c r="N119" s="513"/>
      <c r="O119" s="505">
        <f t="shared" si="19"/>
        <v>0</v>
      </c>
      <c r="P119" s="505">
        <f t="shared" si="20"/>
        <v>0</v>
      </c>
      <c r="Q119" s="244"/>
      <c r="R119" s="244"/>
      <c r="S119" s="244"/>
      <c r="T119" s="244"/>
      <c r="U119" s="244"/>
    </row>
    <row r="120" spans="2:21" ht="12.5">
      <c r="B120" s="145" t="str">
        <f t="shared" si="21"/>
        <v/>
      </c>
      <c r="C120" s="496">
        <f>IF(D94="","-",+C119+1)</f>
        <v>2033</v>
      </c>
      <c r="D120" s="350">
        <f>IF(F119+SUM(E$100:E119)=D$93,F119,D$93-SUM(E$100:E119))</f>
        <v>2990438.2723155948</v>
      </c>
      <c r="E120" s="629">
        <f t="shared" si="23"/>
        <v>257511.03571428571</v>
      </c>
      <c r="F120" s="511">
        <f t="shared" si="24"/>
        <v>2732927.2366013089</v>
      </c>
      <c r="G120" s="511">
        <f t="shared" si="25"/>
        <v>2861682.7544584516</v>
      </c>
      <c r="H120" s="646">
        <f t="shared" si="27"/>
        <v>562032.71055917698</v>
      </c>
      <c r="I120" s="630">
        <f t="shared" si="26"/>
        <v>562032.71055917698</v>
      </c>
      <c r="J120" s="505">
        <f t="shared" si="22"/>
        <v>0</v>
      </c>
      <c r="K120" s="505"/>
      <c r="L120" s="513"/>
      <c r="M120" s="505">
        <f t="shared" si="18"/>
        <v>0</v>
      </c>
      <c r="N120" s="513"/>
      <c r="O120" s="505">
        <f t="shared" si="19"/>
        <v>0</v>
      </c>
      <c r="P120" s="505">
        <f t="shared" si="20"/>
        <v>0</v>
      </c>
      <c r="Q120" s="244"/>
      <c r="R120" s="244"/>
      <c r="S120" s="244"/>
      <c r="T120" s="244"/>
      <c r="U120" s="244"/>
    </row>
    <row r="121" spans="2:21" ht="12.5">
      <c r="B121" s="145" t="str">
        <f t="shared" si="21"/>
        <v/>
      </c>
      <c r="C121" s="496">
        <f>IF(D94="","-",+C120+1)</f>
        <v>2034</v>
      </c>
      <c r="D121" s="350">
        <f>IF(F120+SUM(E$100:E120)=D$93,F120,D$93-SUM(E$100:E120))</f>
        <v>2732927.2366013089</v>
      </c>
      <c r="E121" s="629">
        <f t="shared" si="23"/>
        <v>257511.03571428571</v>
      </c>
      <c r="F121" s="511">
        <f t="shared" si="24"/>
        <v>2475416.200887023</v>
      </c>
      <c r="G121" s="511">
        <f t="shared" si="25"/>
        <v>2604171.7187441662</v>
      </c>
      <c r="H121" s="646">
        <f t="shared" si="27"/>
        <v>534630.06022535381</v>
      </c>
      <c r="I121" s="630">
        <f t="shared" si="26"/>
        <v>534630.06022535381</v>
      </c>
      <c r="J121" s="505">
        <f t="shared" si="22"/>
        <v>0</v>
      </c>
      <c r="K121" s="505"/>
      <c r="L121" s="513"/>
      <c r="M121" s="505">
        <f t="shared" si="18"/>
        <v>0</v>
      </c>
      <c r="N121" s="513"/>
      <c r="O121" s="505">
        <f t="shared" si="19"/>
        <v>0</v>
      </c>
      <c r="P121" s="505">
        <f t="shared" si="20"/>
        <v>0</v>
      </c>
      <c r="Q121" s="244"/>
      <c r="R121" s="244"/>
      <c r="S121" s="244"/>
      <c r="T121" s="244"/>
      <c r="U121" s="244"/>
    </row>
    <row r="122" spans="2:21" ht="12.5">
      <c r="B122" s="145" t="str">
        <f t="shared" si="21"/>
        <v/>
      </c>
      <c r="C122" s="496">
        <f>IF(D94="","-",+C121+1)</f>
        <v>2035</v>
      </c>
      <c r="D122" s="350">
        <f>IF(F121+SUM(E$100:E121)=D$93,F121,D$93-SUM(E$100:E121))</f>
        <v>2475416.200887023</v>
      </c>
      <c r="E122" s="629">
        <f t="shared" si="23"/>
        <v>257511.03571428571</v>
      </c>
      <c r="F122" s="511">
        <f t="shared" si="24"/>
        <v>2217905.1651727371</v>
      </c>
      <c r="G122" s="511">
        <f t="shared" si="25"/>
        <v>2346660.6830298798</v>
      </c>
      <c r="H122" s="646">
        <f t="shared" si="27"/>
        <v>507227.40989153064</v>
      </c>
      <c r="I122" s="630">
        <f t="shared" si="26"/>
        <v>507227.40989153064</v>
      </c>
      <c r="J122" s="505">
        <f t="shared" si="22"/>
        <v>0</v>
      </c>
      <c r="K122" s="505"/>
      <c r="L122" s="513"/>
      <c r="M122" s="505">
        <f t="shared" si="18"/>
        <v>0</v>
      </c>
      <c r="N122" s="513"/>
      <c r="O122" s="505">
        <f t="shared" si="19"/>
        <v>0</v>
      </c>
      <c r="P122" s="505">
        <f t="shared" si="20"/>
        <v>0</v>
      </c>
      <c r="Q122" s="244"/>
      <c r="R122" s="244"/>
      <c r="S122" s="244"/>
      <c r="T122" s="244"/>
      <c r="U122" s="244"/>
    </row>
    <row r="123" spans="2:21" ht="12.5">
      <c r="B123" s="145" t="str">
        <f t="shared" si="21"/>
        <v/>
      </c>
      <c r="C123" s="496">
        <f>IF(D94="","-",+C122+1)</f>
        <v>2036</v>
      </c>
      <c r="D123" s="350">
        <f>IF(F122+SUM(E$100:E122)=D$93,F122,D$93-SUM(E$100:E122))</f>
        <v>2217905.1651727371</v>
      </c>
      <c r="E123" s="629">
        <f t="shared" si="23"/>
        <v>257511.03571428571</v>
      </c>
      <c r="F123" s="511">
        <f t="shared" si="24"/>
        <v>1960394.1294584514</v>
      </c>
      <c r="G123" s="511">
        <f t="shared" si="25"/>
        <v>2089149.6473155944</v>
      </c>
      <c r="H123" s="646">
        <f t="shared" si="27"/>
        <v>479824.75955770747</v>
      </c>
      <c r="I123" s="630">
        <f t="shared" si="26"/>
        <v>479824.75955770747</v>
      </c>
      <c r="J123" s="505">
        <f t="shared" si="22"/>
        <v>0</v>
      </c>
      <c r="K123" s="505"/>
      <c r="L123" s="513"/>
      <c r="M123" s="505">
        <f t="shared" si="18"/>
        <v>0</v>
      </c>
      <c r="N123" s="513"/>
      <c r="O123" s="505">
        <f t="shared" si="19"/>
        <v>0</v>
      </c>
      <c r="P123" s="505">
        <f t="shared" si="20"/>
        <v>0</v>
      </c>
      <c r="Q123" s="244"/>
      <c r="R123" s="244"/>
      <c r="S123" s="244"/>
      <c r="T123" s="244"/>
      <c r="U123" s="244"/>
    </row>
    <row r="124" spans="2:21" ht="12.5">
      <c r="B124" s="145" t="str">
        <f t="shared" si="21"/>
        <v/>
      </c>
      <c r="C124" s="496">
        <f>IF(D94="","-",+C123+1)</f>
        <v>2037</v>
      </c>
      <c r="D124" s="350">
        <f>IF(F123+SUM(E$100:E123)=D$93,F123,D$93-SUM(E$100:E123))</f>
        <v>1960394.1294584514</v>
      </c>
      <c r="E124" s="629">
        <f t="shared" si="23"/>
        <v>257511.03571428571</v>
      </c>
      <c r="F124" s="511">
        <f t="shared" si="24"/>
        <v>1702883.0937441657</v>
      </c>
      <c r="G124" s="511">
        <f t="shared" si="25"/>
        <v>1831638.6116013085</v>
      </c>
      <c r="H124" s="646">
        <f t="shared" si="27"/>
        <v>452422.1092238843</v>
      </c>
      <c r="I124" s="630">
        <f t="shared" si="26"/>
        <v>452422.1092238843</v>
      </c>
      <c r="J124" s="505">
        <f t="shared" si="22"/>
        <v>0</v>
      </c>
      <c r="K124" s="505"/>
      <c r="L124" s="513"/>
      <c r="M124" s="505">
        <f t="shared" si="18"/>
        <v>0</v>
      </c>
      <c r="N124" s="513"/>
      <c r="O124" s="505">
        <f t="shared" si="19"/>
        <v>0</v>
      </c>
      <c r="P124" s="505">
        <f t="shared" si="20"/>
        <v>0</v>
      </c>
      <c r="Q124" s="244"/>
      <c r="R124" s="244"/>
      <c r="S124" s="244"/>
      <c r="T124" s="244"/>
      <c r="U124" s="244"/>
    </row>
    <row r="125" spans="2:21" ht="12.5">
      <c r="B125" s="145" t="str">
        <f t="shared" si="21"/>
        <v/>
      </c>
      <c r="C125" s="496">
        <f>IF(D94="","-",+C124+1)</f>
        <v>2038</v>
      </c>
      <c r="D125" s="350">
        <f>IF(F124+SUM(E$100:E124)=D$93,F124,D$93-SUM(E$100:E124))</f>
        <v>1702883.0937441657</v>
      </c>
      <c r="E125" s="629">
        <f t="shared" si="23"/>
        <v>257511.03571428571</v>
      </c>
      <c r="F125" s="511">
        <f t="shared" si="24"/>
        <v>1445372.05802988</v>
      </c>
      <c r="G125" s="511">
        <f t="shared" si="25"/>
        <v>1574127.575887023</v>
      </c>
      <c r="H125" s="646">
        <f t="shared" si="27"/>
        <v>425019.45889006113</v>
      </c>
      <c r="I125" s="630">
        <f t="shared" si="26"/>
        <v>425019.45889006113</v>
      </c>
      <c r="J125" s="505">
        <f t="shared" si="22"/>
        <v>0</v>
      </c>
      <c r="K125" s="505"/>
      <c r="L125" s="513"/>
      <c r="M125" s="505">
        <f t="shared" si="18"/>
        <v>0</v>
      </c>
      <c r="N125" s="513"/>
      <c r="O125" s="505">
        <f t="shared" si="19"/>
        <v>0</v>
      </c>
      <c r="P125" s="505">
        <f t="shared" si="20"/>
        <v>0</v>
      </c>
      <c r="Q125" s="244"/>
      <c r="R125" s="244"/>
      <c r="S125" s="244"/>
      <c r="T125" s="244"/>
      <c r="U125" s="244"/>
    </row>
    <row r="126" spans="2:21" ht="12.5">
      <c r="B126" s="145" t="str">
        <f t="shared" si="21"/>
        <v/>
      </c>
      <c r="C126" s="496">
        <f>IF(D94="","-",+C125+1)</f>
        <v>2039</v>
      </c>
      <c r="D126" s="350">
        <f>IF(F125+SUM(E$100:E125)=D$93,F125,D$93-SUM(E$100:E125))</f>
        <v>1445372.05802988</v>
      </c>
      <c r="E126" s="629">
        <f t="shared" si="23"/>
        <v>257511.03571428571</v>
      </c>
      <c r="F126" s="511">
        <f t="shared" si="24"/>
        <v>1187861.0223155944</v>
      </c>
      <c r="G126" s="511">
        <f t="shared" si="25"/>
        <v>1316616.5401727371</v>
      </c>
      <c r="H126" s="646">
        <f t="shared" si="27"/>
        <v>397616.80855623796</v>
      </c>
      <c r="I126" s="630">
        <f t="shared" si="26"/>
        <v>397616.80855623796</v>
      </c>
      <c r="J126" s="505">
        <f t="shared" si="22"/>
        <v>0</v>
      </c>
      <c r="K126" s="505"/>
      <c r="L126" s="513"/>
      <c r="M126" s="505">
        <f t="shared" si="18"/>
        <v>0</v>
      </c>
      <c r="N126" s="513"/>
      <c r="O126" s="505">
        <f t="shared" si="19"/>
        <v>0</v>
      </c>
      <c r="P126" s="505">
        <f t="shared" si="20"/>
        <v>0</v>
      </c>
      <c r="Q126" s="244"/>
      <c r="R126" s="244"/>
      <c r="S126" s="244"/>
      <c r="T126" s="244"/>
      <c r="U126" s="244"/>
    </row>
    <row r="127" spans="2:21" ht="12.5">
      <c r="B127" s="145" t="str">
        <f t="shared" si="21"/>
        <v/>
      </c>
      <c r="C127" s="496">
        <f>IF(D94="","-",+C126+1)</f>
        <v>2040</v>
      </c>
      <c r="D127" s="350">
        <f>IF(F126+SUM(E$100:E126)=D$93,F126,D$93-SUM(E$100:E126))</f>
        <v>1187861.0223155944</v>
      </c>
      <c r="E127" s="629">
        <f t="shared" si="23"/>
        <v>257511.03571428571</v>
      </c>
      <c r="F127" s="511">
        <f t="shared" si="24"/>
        <v>930349.98660130869</v>
      </c>
      <c r="G127" s="511">
        <f t="shared" si="25"/>
        <v>1059105.5044584516</v>
      </c>
      <c r="H127" s="646">
        <f t="shared" si="27"/>
        <v>370214.15822241479</v>
      </c>
      <c r="I127" s="630">
        <f t="shared" si="26"/>
        <v>370214.15822241479</v>
      </c>
      <c r="J127" s="505">
        <f t="shared" si="22"/>
        <v>0</v>
      </c>
      <c r="K127" s="505"/>
      <c r="L127" s="513"/>
      <c r="M127" s="505">
        <f t="shared" si="18"/>
        <v>0</v>
      </c>
      <c r="N127" s="513"/>
      <c r="O127" s="505">
        <f t="shared" si="19"/>
        <v>0</v>
      </c>
      <c r="P127" s="505">
        <f t="shared" si="20"/>
        <v>0</v>
      </c>
      <c r="Q127" s="244"/>
      <c r="R127" s="244"/>
      <c r="S127" s="244"/>
      <c r="T127" s="244"/>
      <c r="U127" s="244"/>
    </row>
    <row r="128" spans="2:21" ht="12.5">
      <c r="B128" s="145" t="str">
        <f t="shared" si="21"/>
        <v/>
      </c>
      <c r="C128" s="496">
        <f>IF(D94="","-",+C127+1)</f>
        <v>2041</v>
      </c>
      <c r="D128" s="350">
        <f>IF(F127+SUM(E$100:E127)=D$93,F127,D$93-SUM(E$100:E127))</f>
        <v>930349.98660130869</v>
      </c>
      <c r="E128" s="629">
        <f t="shared" si="23"/>
        <v>257511.03571428571</v>
      </c>
      <c r="F128" s="511">
        <f t="shared" si="24"/>
        <v>672838.95088702301</v>
      </c>
      <c r="G128" s="511">
        <f t="shared" si="25"/>
        <v>801594.46874416585</v>
      </c>
      <c r="H128" s="646">
        <f t="shared" si="27"/>
        <v>342811.50788859162</v>
      </c>
      <c r="I128" s="630">
        <f t="shared" si="26"/>
        <v>342811.50788859162</v>
      </c>
      <c r="J128" s="505">
        <f t="shared" si="22"/>
        <v>0</v>
      </c>
      <c r="K128" s="505"/>
      <c r="L128" s="513"/>
      <c r="M128" s="505">
        <f t="shared" si="18"/>
        <v>0</v>
      </c>
      <c r="N128" s="513"/>
      <c r="O128" s="505">
        <f t="shared" si="19"/>
        <v>0</v>
      </c>
      <c r="P128" s="505">
        <f t="shared" si="20"/>
        <v>0</v>
      </c>
      <c r="Q128" s="244"/>
      <c r="R128" s="244"/>
      <c r="S128" s="244"/>
      <c r="T128" s="244"/>
      <c r="U128" s="244"/>
    </row>
    <row r="129" spans="2:21" ht="12.5">
      <c r="B129" s="145" t="str">
        <f t="shared" si="21"/>
        <v/>
      </c>
      <c r="C129" s="496">
        <f>IF(D94="","-",+C128+1)</f>
        <v>2042</v>
      </c>
      <c r="D129" s="350">
        <f>IF(F128+SUM(E$100:E128)=D$93,F128,D$93-SUM(E$100:E128))</f>
        <v>672838.95088702301</v>
      </c>
      <c r="E129" s="629">
        <f t="shared" si="23"/>
        <v>257511.03571428571</v>
      </c>
      <c r="F129" s="511">
        <f t="shared" si="24"/>
        <v>415327.91517273732</v>
      </c>
      <c r="G129" s="511">
        <f t="shared" si="25"/>
        <v>544083.43302988017</v>
      </c>
      <c r="H129" s="646">
        <f t="shared" si="27"/>
        <v>315408.85755476844</v>
      </c>
      <c r="I129" s="630">
        <f t="shared" si="26"/>
        <v>315408.85755476844</v>
      </c>
      <c r="J129" s="505">
        <f t="shared" si="22"/>
        <v>0</v>
      </c>
      <c r="K129" s="505"/>
      <c r="L129" s="513"/>
      <c r="M129" s="505">
        <f t="shared" si="18"/>
        <v>0</v>
      </c>
      <c r="N129" s="513"/>
      <c r="O129" s="505">
        <f t="shared" si="19"/>
        <v>0</v>
      </c>
      <c r="P129" s="505">
        <f t="shared" si="20"/>
        <v>0</v>
      </c>
      <c r="Q129" s="244"/>
      <c r="R129" s="244"/>
      <c r="S129" s="244"/>
      <c r="T129" s="244"/>
      <c r="U129" s="244"/>
    </row>
    <row r="130" spans="2:21" ht="12.5">
      <c r="B130" s="145" t="str">
        <f t="shared" si="21"/>
        <v/>
      </c>
      <c r="C130" s="496">
        <f>IF(D94="","-",+C129+1)</f>
        <v>2043</v>
      </c>
      <c r="D130" s="350">
        <f>IF(F129+SUM(E$100:E129)=D$93,F129,D$93-SUM(E$100:E129))</f>
        <v>415327.91517273732</v>
      </c>
      <c r="E130" s="629">
        <f t="shared" si="23"/>
        <v>257511.03571428571</v>
      </c>
      <c r="F130" s="511">
        <f t="shared" si="24"/>
        <v>157816.87945845161</v>
      </c>
      <c r="G130" s="511">
        <f t="shared" si="25"/>
        <v>286572.39731559448</v>
      </c>
      <c r="H130" s="646">
        <f t="shared" si="27"/>
        <v>288006.20722094527</v>
      </c>
      <c r="I130" s="630">
        <f t="shared" si="26"/>
        <v>288006.20722094527</v>
      </c>
      <c r="J130" s="505">
        <f t="shared" si="22"/>
        <v>0</v>
      </c>
      <c r="K130" s="505"/>
      <c r="L130" s="513"/>
      <c r="M130" s="505">
        <f t="shared" si="18"/>
        <v>0</v>
      </c>
      <c r="N130" s="513"/>
      <c r="O130" s="505">
        <f t="shared" si="19"/>
        <v>0</v>
      </c>
      <c r="P130" s="505">
        <f t="shared" si="20"/>
        <v>0</v>
      </c>
      <c r="Q130" s="244"/>
      <c r="R130" s="244"/>
      <c r="S130" s="244"/>
      <c r="T130" s="244"/>
      <c r="U130" s="244"/>
    </row>
    <row r="131" spans="2:21" ht="12.5">
      <c r="B131" s="145" t="str">
        <f t="shared" si="21"/>
        <v/>
      </c>
      <c r="C131" s="496">
        <f>IF(D94="","-",+C130+1)</f>
        <v>2044</v>
      </c>
      <c r="D131" s="350">
        <f>IF(F130+SUM(E$100:E130)=D$93,F130,D$93-SUM(E$100:E130))</f>
        <v>157816.87945845161</v>
      </c>
      <c r="E131" s="629">
        <f t="shared" si="23"/>
        <v>157816.87945845161</v>
      </c>
      <c r="F131" s="511">
        <f t="shared" si="24"/>
        <v>0</v>
      </c>
      <c r="G131" s="511">
        <f t="shared" si="25"/>
        <v>78908.439729225807</v>
      </c>
      <c r="H131" s="646">
        <f t="shared" si="27"/>
        <v>166213.80262832562</v>
      </c>
      <c r="I131" s="630">
        <f t="shared" si="26"/>
        <v>166213.80262832562</v>
      </c>
      <c r="J131" s="505">
        <f t="shared" si="22"/>
        <v>0</v>
      </c>
      <c r="K131" s="505"/>
      <c r="L131" s="513"/>
      <c r="M131" s="505">
        <f t="shared" si="18"/>
        <v>0</v>
      </c>
      <c r="N131" s="513"/>
      <c r="O131" s="505">
        <f t="shared" si="19"/>
        <v>0</v>
      </c>
      <c r="P131" s="505">
        <f t="shared" si="20"/>
        <v>0</v>
      </c>
      <c r="Q131" s="244"/>
      <c r="R131" s="244"/>
      <c r="S131" s="244"/>
      <c r="T131" s="244"/>
      <c r="U131" s="244"/>
    </row>
    <row r="132" spans="2:21" ht="12.5">
      <c r="B132" s="145" t="str">
        <f t="shared" si="21"/>
        <v/>
      </c>
      <c r="C132" s="496">
        <f>IF(D94="","-",+C131+1)</f>
        <v>2045</v>
      </c>
      <c r="D132" s="350">
        <f>IF(F131+SUM(E$100:E131)=D$93,F131,D$93-SUM(E$100:E131))</f>
        <v>0</v>
      </c>
      <c r="E132" s="629">
        <f t="shared" si="23"/>
        <v>0</v>
      </c>
      <c r="F132" s="511">
        <f t="shared" si="24"/>
        <v>0</v>
      </c>
      <c r="G132" s="511">
        <f t="shared" si="25"/>
        <v>0</v>
      </c>
      <c r="H132" s="646">
        <f t="shared" si="27"/>
        <v>0</v>
      </c>
      <c r="I132" s="630">
        <f t="shared" si="26"/>
        <v>0</v>
      </c>
      <c r="J132" s="505">
        <f t="shared" si="22"/>
        <v>0</v>
      </c>
      <c r="K132" s="505"/>
      <c r="L132" s="513"/>
      <c r="M132" s="505">
        <f t="shared" ref="M132:M155" si="28">IF(L542&lt;&gt;0,+H542-L542,0)</f>
        <v>0</v>
      </c>
      <c r="N132" s="513"/>
      <c r="O132" s="505">
        <f t="shared" ref="O132:O155" si="29">IF(N542&lt;&gt;0,+I542-N542,0)</f>
        <v>0</v>
      </c>
      <c r="P132" s="505">
        <f t="shared" ref="P132:P155" si="30">+O542-M542</f>
        <v>0</v>
      </c>
      <c r="Q132" s="244"/>
      <c r="R132" s="244"/>
      <c r="S132" s="244"/>
      <c r="T132" s="244"/>
      <c r="U132" s="244"/>
    </row>
    <row r="133" spans="2:21" ht="12.5">
      <c r="B133" s="145" t="str">
        <f t="shared" si="21"/>
        <v/>
      </c>
      <c r="C133" s="496">
        <f>IF(D94="","-",+C132+1)</f>
        <v>2046</v>
      </c>
      <c r="D133" s="350">
        <f>IF(F132+SUM(E$100:E132)=D$93,F132,D$93-SUM(E$100:E132))</f>
        <v>0</v>
      </c>
      <c r="E133" s="629">
        <f t="shared" si="23"/>
        <v>0</v>
      </c>
      <c r="F133" s="511">
        <f t="shared" si="24"/>
        <v>0</v>
      </c>
      <c r="G133" s="511">
        <f t="shared" si="25"/>
        <v>0</v>
      </c>
      <c r="H133" s="646">
        <f t="shared" si="27"/>
        <v>0</v>
      </c>
      <c r="I133" s="630">
        <f t="shared" si="26"/>
        <v>0</v>
      </c>
      <c r="J133" s="505">
        <f t="shared" si="22"/>
        <v>0</v>
      </c>
      <c r="K133" s="505"/>
      <c r="L133" s="513"/>
      <c r="M133" s="505">
        <f t="shared" si="28"/>
        <v>0</v>
      </c>
      <c r="N133" s="513"/>
      <c r="O133" s="505">
        <f t="shared" si="29"/>
        <v>0</v>
      </c>
      <c r="P133" s="505">
        <f t="shared" si="30"/>
        <v>0</v>
      </c>
      <c r="Q133" s="244"/>
      <c r="R133" s="244"/>
      <c r="S133" s="244"/>
      <c r="T133" s="244"/>
      <c r="U133" s="244"/>
    </row>
    <row r="134" spans="2:21" ht="12.5">
      <c r="B134" s="145" t="str">
        <f t="shared" si="21"/>
        <v/>
      </c>
      <c r="C134" s="496">
        <f>IF(D94="","-",+C133+1)</f>
        <v>2047</v>
      </c>
      <c r="D134" s="350">
        <f>IF(F133+SUM(E$100:E133)=D$93,F133,D$93-SUM(E$100:E133))</f>
        <v>0</v>
      </c>
      <c r="E134" s="629">
        <f t="shared" si="23"/>
        <v>0</v>
      </c>
      <c r="F134" s="511">
        <f t="shared" si="24"/>
        <v>0</v>
      </c>
      <c r="G134" s="511">
        <f t="shared" si="25"/>
        <v>0</v>
      </c>
      <c r="H134" s="646">
        <f t="shared" si="27"/>
        <v>0</v>
      </c>
      <c r="I134" s="630">
        <f t="shared" si="26"/>
        <v>0</v>
      </c>
      <c r="J134" s="505">
        <f t="shared" si="22"/>
        <v>0</v>
      </c>
      <c r="K134" s="505"/>
      <c r="L134" s="513"/>
      <c r="M134" s="505">
        <f t="shared" si="28"/>
        <v>0</v>
      </c>
      <c r="N134" s="513"/>
      <c r="O134" s="505">
        <f t="shared" si="29"/>
        <v>0</v>
      </c>
      <c r="P134" s="505">
        <f t="shared" si="30"/>
        <v>0</v>
      </c>
      <c r="Q134" s="244"/>
      <c r="R134" s="244"/>
      <c r="S134" s="244"/>
      <c r="T134" s="244"/>
      <c r="U134" s="244"/>
    </row>
    <row r="135" spans="2:21" ht="12.5">
      <c r="B135" s="145" t="str">
        <f t="shared" si="21"/>
        <v/>
      </c>
      <c r="C135" s="496">
        <f>IF(D94="","-",+C134+1)</f>
        <v>2048</v>
      </c>
      <c r="D135" s="350">
        <f>IF(F134+SUM(E$100:E134)=D$93,F134,D$93-SUM(E$100:E134))</f>
        <v>0</v>
      </c>
      <c r="E135" s="629">
        <f t="shared" si="23"/>
        <v>0</v>
      </c>
      <c r="F135" s="511">
        <f t="shared" si="24"/>
        <v>0</v>
      </c>
      <c r="G135" s="511">
        <f t="shared" si="25"/>
        <v>0</v>
      </c>
      <c r="H135" s="646">
        <f t="shared" si="27"/>
        <v>0</v>
      </c>
      <c r="I135" s="630">
        <f t="shared" si="26"/>
        <v>0</v>
      </c>
      <c r="J135" s="505">
        <f t="shared" si="22"/>
        <v>0</v>
      </c>
      <c r="K135" s="505"/>
      <c r="L135" s="513"/>
      <c r="M135" s="505">
        <f t="shared" si="28"/>
        <v>0</v>
      </c>
      <c r="N135" s="513"/>
      <c r="O135" s="505">
        <f t="shared" si="29"/>
        <v>0</v>
      </c>
      <c r="P135" s="505">
        <f t="shared" si="30"/>
        <v>0</v>
      </c>
      <c r="Q135" s="244"/>
      <c r="R135" s="244"/>
      <c r="S135" s="244"/>
      <c r="T135" s="244"/>
      <c r="U135" s="244"/>
    </row>
    <row r="136" spans="2:21" ht="12.5">
      <c r="B136" s="145" t="str">
        <f t="shared" si="21"/>
        <v/>
      </c>
      <c r="C136" s="496">
        <f>IF(D94="","-",+C135+1)</f>
        <v>2049</v>
      </c>
      <c r="D136" s="350">
        <f>IF(F135+SUM(E$100:E135)=D$93,F135,D$93-SUM(E$100:E135))</f>
        <v>0</v>
      </c>
      <c r="E136" s="629">
        <f t="shared" si="23"/>
        <v>0</v>
      </c>
      <c r="F136" s="511">
        <f t="shared" si="24"/>
        <v>0</v>
      </c>
      <c r="G136" s="511">
        <f t="shared" si="25"/>
        <v>0</v>
      </c>
      <c r="H136" s="646">
        <f t="shared" si="27"/>
        <v>0</v>
      </c>
      <c r="I136" s="630">
        <f t="shared" si="26"/>
        <v>0</v>
      </c>
      <c r="J136" s="505">
        <f t="shared" si="22"/>
        <v>0</v>
      </c>
      <c r="K136" s="505"/>
      <c r="L136" s="513"/>
      <c r="M136" s="505">
        <f t="shared" si="28"/>
        <v>0</v>
      </c>
      <c r="N136" s="513"/>
      <c r="O136" s="505">
        <f t="shared" si="29"/>
        <v>0</v>
      </c>
      <c r="P136" s="505">
        <f t="shared" si="30"/>
        <v>0</v>
      </c>
      <c r="Q136" s="244"/>
      <c r="R136" s="244"/>
      <c r="S136" s="244"/>
      <c r="T136" s="244"/>
      <c r="U136" s="244"/>
    </row>
    <row r="137" spans="2:21" ht="12.5">
      <c r="B137" s="145" t="str">
        <f t="shared" si="21"/>
        <v/>
      </c>
      <c r="C137" s="496">
        <f>IF(D94="","-",+C136+1)</f>
        <v>2050</v>
      </c>
      <c r="D137" s="350">
        <f>IF(F136+SUM(E$100:E136)=D$93,F136,D$93-SUM(E$100:E136))</f>
        <v>0</v>
      </c>
      <c r="E137" s="629">
        <f t="shared" si="23"/>
        <v>0</v>
      </c>
      <c r="F137" s="511">
        <f t="shared" si="24"/>
        <v>0</v>
      </c>
      <c r="G137" s="511">
        <f t="shared" si="25"/>
        <v>0</v>
      </c>
      <c r="H137" s="646">
        <f t="shared" si="27"/>
        <v>0</v>
      </c>
      <c r="I137" s="630">
        <f t="shared" si="26"/>
        <v>0</v>
      </c>
      <c r="J137" s="505">
        <f t="shared" si="22"/>
        <v>0</v>
      </c>
      <c r="K137" s="505"/>
      <c r="L137" s="513"/>
      <c r="M137" s="505">
        <f t="shared" si="28"/>
        <v>0</v>
      </c>
      <c r="N137" s="513"/>
      <c r="O137" s="505">
        <f t="shared" si="29"/>
        <v>0</v>
      </c>
      <c r="P137" s="505">
        <f t="shared" si="30"/>
        <v>0</v>
      </c>
      <c r="Q137" s="244"/>
      <c r="R137" s="244"/>
      <c r="S137" s="244"/>
      <c r="T137" s="244"/>
      <c r="U137" s="244"/>
    </row>
    <row r="138" spans="2:21" ht="12.5">
      <c r="B138" s="145" t="str">
        <f t="shared" si="21"/>
        <v/>
      </c>
      <c r="C138" s="496">
        <f>IF(D94="","-",+C137+1)</f>
        <v>2051</v>
      </c>
      <c r="D138" s="350">
        <f>IF(F137+SUM(E$100:E137)=D$93,F137,D$93-SUM(E$100:E137))</f>
        <v>0</v>
      </c>
      <c r="E138" s="629">
        <f t="shared" si="23"/>
        <v>0</v>
      </c>
      <c r="F138" s="511">
        <f t="shared" si="24"/>
        <v>0</v>
      </c>
      <c r="G138" s="511">
        <f t="shared" si="25"/>
        <v>0</v>
      </c>
      <c r="H138" s="646">
        <f t="shared" si="27"/>
        <v>0</v>
      </c>
      <c r="I138" s="630">
        <f t="shared" si="26"/>
        <v>0</v>
      </c>
      <c r="J138" s="505">
        <f t="shared" si="22"/>
        <v>0</v>
      </c>
      <c r="K138" s="505"/>
      <c r="L138" s="513"/>
      <c r="M138" s="505">
        <f t="shared" si="28"/>
        <v>0</v>
      </c>
      <c r="N138" s="513"/>
      <c r="O138" s="505">
        <f t="shared" si="29"/>
        <v>0</v>
      </c>
      <c r="P138" s="505">
        <f t="shared" si="30"/>
        <v>0</v>
      </c>
      <c r="Q138" s="244"/>
      <c r="R138" s="244"/>
      <c r="S138" s="244"/>
      <c r="T138" s="244"/>
      <c r="U138" s="244"/>
    </row>
    <row r="139" spans="2:21" ht="12.5">
      <c r="B139" s="145" t="str">
        <f t="shared" si="21"/>
        <v/>
      </c>
      <c r="C139" s="496">
        <f>IF(D94="","-",+C138+1)</f>
        <v>2052</v>
      </c>
      <c r="D139" s="350">
        <f>IF(F138+SUM(E$100:E138)=D$93,F138,D$93-SUM(E$100:E138))</f>
        <v>0</v>
      </c>
      <c r="E139" s="629">
        <f t="shared" si="23"/>
        <v>0</v>
      </c>
      <c r="F139" s="511">
        <f t="shared" si="24"/>
        <v>0</v>
      </c>
      <c r="G139" s="511">
        <f t="shared" si="25"/>
        <v>0</v>
      </c>
      <c r="H139" s="646">
        <f t="shared" si="27"/>
        <v>0</v>
      </c>
      <c r="I139" s="630">
        <f t="shared" si="26"/>
        <v>0</v>
      </c>
      <c r="J139" s="505">
        <f t="shared" si="22"/>
        <v>0</v>
      </c>
      <c r="K139" s="505"/>
      <c r="L139" s="513"/>
      <c r="M139" s="505">
        <f t="shared" si="28"/>
        <v>0</v>
      </c>
      <c r="N139" s="513"/>
      <c r="O139" s="505">
        <f t="shared" si="29"/>
        <v>0</v>
      </c>
      <c r="P139" s="505">
        <f t="shared" si="30"/>
        <v>0</v>
      </c>
      <c r="Q139" s="244"/>
      <c r="R139" s="244"/>
      <c r="S139" s="244"/>
      <c r="T139" s="244"/>
      <c r="U139" s="244"/>
    </row>
    <row r="140" spans="2:21" ht="12.5">
      <c r="B140" s="145" t="str">
        <f t="shared" si="21"/>
        <v/>
      </c>
      <c r="C140" s="496">
        <f>IF(D94="","-",+C139+1)</f>
        <v>2053</v>
      </c>
      <c r="D140" s="350">
        <f>IF(F139+SUM(E$100:E139)=D$93,F139,D$93-SUM(E$100:E139))</f>
        <v>0</v>
      </c>
      <c r="E140" s="629">
        <f t="shared" si="23"/>
        <v>0</v>
      </c>
      <c r="F140" s="511">
        <f t="shared" si="24"/>
        <v>0</v>
      </c>
      <c r="G140" s="511">
        <f t="shared" si="25"/>
        <v>0</v>
      </c>
      <c r="H140" s="646">
        <f t="shared" si="27"/>
        <v>0</v>
      </c>
      <c r="I140" s="630">
        <f t="shared" si="26"/>
        <v>0</v>
      </c>
      <c r="J140" s="505">
        <f t="shared" si="22"/>
        <v>0</v>
      </c>
      <c r="K140" s="505"/>
      <c r="L140" s="513"/>
      <c r="M140" s="505">
        <f t="shared" si="28"/>
        <v>0</v>
      </c>
      <c r="N140" s="513"/>
      <c r="O140" s="505">
        <f t="shared" si="29"/>
        <v>0</v>
      </c>
      <c r="P140" s="505">
        <f t="shared" si="30"/>
        <v>0</v>
      </c>
      <c r="Q140" s="244"/>
      <c r="R140" s="244"/>
      <c r="S140" s="244"/>
      <c r="T140" s="244"/>
      <c r="U140" s="244"/>
    </row>
    <row r="141" spans="2:21" ht="12.5">
      <c r="B141" s="145" t="str">
        <f t="shared" si="21"/>
        <v/>
      </c>
      <c r="C141" s="496">
        <f>IF(D94="","-",+C140+1)</f>
        <v>2054</v>
      </c>
      <c r="D141" s="350">
        <f>IF(F140+SUM(E$100:E140)=D$93,F140,D$93-SUM(E$100:E140))</f>
        <v>0</v>
      </c>
      <c r="E141" s="629">
        <f t="shared" si="23"/>
        <v>0</v>
      </c>
      <c r="F141" s="511">
        <f t="shared" si="24"/>
        <v>0</v>
      </c>
      <c r="G141" s="511">
        <f t="shared" si="25"/>
        <v>0</v>
      </c>
      <c r="H141" s="646">
        <f t="shared" si="27"/>
        <v>0</v>
      </c>
      <c r="I141" s="630">
        <f t="shared" si="26"/>
        <v>0</v>
      </c>
      <c r="J141" s="505">
        <f t="shared" si="22"/>
        <v>0</v>
      </c>
      <c r="K141" s="505"/>
      <c r="L141" s="513"/>
      <c r="M141" s="505">
        <f t="shared" si="28"/>
        <v>0</v>
      </c>
      <c r="N141" s="513"/>
      <c r="O141" s="505">
        <f t="shared" si="29"/>
        <v>0</v>
      </c>
      <c r="P141" s="505">
        <f t="shared" si="30"/>
        <v>0</v>
      </c>
      <c r="Q141" s="244"/>
      <c r="R141" s="244"/>
      <c r="S141" s="244"/>
      <c r="T141" s="244"/>
      <c r="U141" s="244"/>
    </row>
    <row r="142" spans="2:21" ht="12.5">
      <c r="B142" s="145" t="str">
        <f t="shared" si="21"/>
        <v/>
      </c>
      <c r="C142" s="496">
        <f>IF(D94="","-",+C141+1)</f>
        <v>2055</v>
      </c>
      <c r="D142" s="350">
        <f>IF(F141+SUM(E$100:E141)=D$93,F141,D$93-SUM(E$100:E141))</f>
        <v>0</v>
      </c>
      <c r="E142" s="629">
        <f t="shared" si="23"/>
        <v>0</v>
      </c>
      <c r="F142" s="511">
        <f t="shared" si="24"/>
        <v>0</v>
      </c>
      <c r="G142" s="511">
        <f t="shared" si="25"/>
        <v>0</v>
      </c>
      <c r="H142" s="646">
        <f t="shared" si="27"/>
        <v>0</v>
      </c>
      <c r="I142" s="630">
        <f t="shared" si="26"/>
        <v>0</v>
      </c>
      <c r="J142" s="505">
        <f t="shared" si="22"/>
        <v>0</v>
      </c>
      <c r="K142" s="505"/>
      <c r="L142" s="513"/>
      <c r="M142" s="505">
        <f t="shared" si="28"/>
        <v>0</v>
      </c>
      <c r="N142" s="513"/>
      <c r="O142" s="505">
        <f t="shared" si="29"/>
        <v>0</v>
      </c>
      <c r="P142" s="505">
        <f t="shared" si="30"/>
        <v>0</v>
      </c>
      <c r="Q142" s="244"/>
      <c r="R142" s="244"/>
      <c r="S142" s="244"/>
      <c r="T142" s="244"/>
      <c r="U142" s="244"/>
    </row>
    <row r="143" spans="2:21" ht="12.5">
      <c r="B143" s="145" t="str">
        <f t="shared" si="21"/>
        <v/>
      </c>
      <c r="C143" s="496">
        <f>IF(D94="","-",+C142+1)</f>
        <v>2056</v>
      </c>
      <c r="D143" s="350">
        <f>IF(F142+SUM(E$100:E142)=D$93,F142,D$93-SUM(E$100:E142))</f>
        <v>0</v>
      </c>
      <c r="E143" s="629">
        <f t="shared" si="23"/>
        <v>0</v>
      </c>
      <c r="F143" s="511">
        <f t="shared" si="24"/>
        <v>0</v>
      </c>
      <c r="G143" s="511">
        <f t="shared" si="25"/>
        <v>0</v>
      </c>
      <c r="H143" s="646">
        <f t="shared" si="27"/>
        <v>0</v>
      </c>
      <c r="I143" s="630">
        <f t="shared" si="26"/>
        <v>0</v>
      </c>
      <c r="J143" s="505">
        <f t="shared" si="22"/>
        <v>0</v>
      </c>
      <c r="K143" s="505"/>
      <c r="L143" s="513"/>
      <c r="M143" s="505">
        <f t="shared" si="28"/>
        <v>0</v>
      </c>
      <c r="N143" s="513"/>
      <c r="O143" s="505">
        <f t="shared" si="29"/>
        <v>0</v>
      </c>
      <c r="P143" s="505">
        <f t="shared" si="30"/>
        <v>0</v>
      </c>
      <c r="Q143" s="244"/>
      <c r="R143" s="244"/>
      <c r="S143" s="244"/>
      <c r="T143" s="244"/>
      <c r="U143" s="244"/>
    </row>
    <row r="144" spans="2:21" ht="12.5">
      <c r="B144" s="145" t="str">
        <f t="shared" si="21"/>
        <v/>
      </c>
      <c r="C144" s="496">
        <f>IF(D94="","-",+C143+1)</f>
        <v>2057</v>
      </c>
      <c r="D144" s="350">
        <f>IF(F143+SUM(E$100:E143)=D$93,F143,D$93-SUM(E$100:E143))</f>
        <v>0</v>
      </c>
      <c r="E144" s="629">
        <f t="shared" si="23"/>
        <v>0</v>
      </c>
      <c r="F144" s="511">
        <f t="shared" si="24"/>
        <v>0</v>
      </c>
      <c r="G144" s="511">
        <f t="shared" si="25"/>
        <v>0</v>
      </c>
      <c r="H144" s="646">
        <f t="shared" si="27"/>
        <v>0</v>
      </c>
      <c r="I144" s="630">
        <f t="shared" si="26"/>
        <v>0</v>
      </c>
      <c r="J144" s="505">
        <f t="shared" si="22"/>
        <v>0</v>
      </c>
      <c r="K144" s="505"/>
      <c r="L144" s="513"/>
      <c r="M144" s="505">
        <f t="shared" si="28"/>
        <v>0</v>
      </c>
      <c r="N144" s="513"/>
      <c r="O144" s="505">
        <f t="shared" si="29"/>
        <v>0</v>
      </c>
      <c r="P144" s="505">
        <f t="shared" si="30"/>
        <v>0</v>
      </c>
      <c r="Q144" s="244"/>
      <c r="R144" s="244"/>
      <c r="S144" s="244"/>
      <c r="T144" s="244"/>
      <c r="U144" s="244"/>
    </row>
    <row r="145" spans="2:21" ht="12.5">
      <c r="B145" s="145" t="str">
        <f t="shared" si="21"/>
        <v/>
      </c>
      <c r="C145" s="496">
        <f>IF(D94="","-",+C144+1)</f>
        <v>2058</v>
      </c>
      <c r="D145" s="350">
        <f>IF(F144+SUM(E$100:E144)=D$93,F144,D$93-SUM(E$100:E144))</f>
        <v>0</v>
      </c>
      <c r="E145" s="629">
        <f t="shared" si="23"/>
        <v>0</v>
      </c>
      <c r="F145" s="511">
        <f t="shared" si="24"/>
        <v>0</v>
      </c>
      <c r="G145" s="511">
        <f t="shared" si="25"/>
        <v>0</v>
      </c>
      <c r="H145" s="646">
        <f t="shared" si="27"/>
        <v>0</v>
      </c>
      <c r="I145" s="630">
        <f t="shared" si="26"/>
        <v>0</v>
      </c>
      <c r="J145" s="505">
        <f t="shared" si="22"/>
        <v>0</v>
      </c>
      <c r="K145" s="505"/>
      <c r="L145" s="513"/>
      <c r="M145" s="505">
        <f t="shared" si="28"/>
        <v>0</v>
      </c>
      <c r="N145" s="513"/>
      <c r="O145" s="505">
        <f t="shared" si="29"/>
        <v>0</v>
      </c>
      <c r="P145" s="505">
        <f t="shared" si="30"/>
        <v>0</v>
      </c>
      <c r="Q145" s="244"/>
      <c r="R145" s="244"/>
      <c r="S145" s="244"/>
      <c r="T145" s="244"/>
      <c r="U145" s="244"/>
    </row>
    <row r="146" spans="2:21" ht="12.5">
      <c r="B146" s="145" t="str">
        <f t="shared" si="21"/>
        <v/>
      </c>
      <c r="C146" s="496">
        <f>IF(D94="","-",+C145+1)</f>
        <v>2059</v>
      </c>
      <c r="D146" s="350">
        <f>IF(F145+SUM(E$100:E145)=D$93,F145,D$93-SUM(E$100:E145))</f>
        <v>0</v>
      </c>
      <c r="E146" s="629">
        <f t="shared" si="23"/>
        <v>0</v>
      </c>
      <c r="F146" s="511">
        <f t="shared" si="24"/>
        <v>0</v>
      </c>
      <c r="G146" s="511">
        <f t="shared" si="25"/>
        <v>0</v>
      </c>
      <c r="H146" s="646">
        <f t="shared" si="27"/>
        <v>0</v>
      </c>
      <c r="I146" s="630">
        <f t="shared" si="26"/>
        <v>0</v>
      </c>
      <c r="J146" s="505">
        <f t="shared" si="22"/>
        <v>0</v>
      </c>
      <c r="K146" s="505"/>
      <c r="L146" s="513"/>
      <c r="M146" s="505">
        <f t="shared" si="28"/>
        <v>0</v>
      </c>
      <c r="N146" s="513"/>
      <c r="O146" s="505">
        <f t="shared" si="29"/>
        <v>0</v>
      </c>
      <c r="P146" s="505">
        <f t="shared" si="30"/>
        <v>0</v>
      </c>
      <c r="Q146" s="244"/>
      <c r="R146" s="244"/>
      <c r="S146" s="244"/>
      <c r="T146" s="244"/>
      <c r="U146" s="244"/>
    </row>
    <row r="147" spans="2:21" ht="12.5">
      <c r="B147" s="145" t="str">
        <f t="shared" si="21"/>
        <v/>
      </c>
      <c r="C147" s="496">
        <f>IF(D94="","-",+C146+1)</f>
        <v>2060</v>
      </c>
      <c r="D147" s="350">
        <f>IF(F146+SUM(E$100:E146)=D$93,F146,D$93-SUM(E$100:E146))</f>
        <v>0</v>
      </c>
      <c r="E147" s="629">
        <f t="shared" si="23"/>
        <v>0</v>
      </c>
      <c r="F147" s="511">
        <f t="shared" si="24"/>
        <v>0</v>
      </c>
      <c r="G147" s="511">
        <f t="shared" si="25"/>
        <v>0</v>
      </c>
      <c r="H147" s="646">
        <f t="shared" si="27"/>
        <v>0</v>
      </c>
      <c r="I147" s="630">
        <f t="shared" si="26"/>
        <v>0</v>
      </c>
      <c r="J147" s="505">
        <f t="shared" si="22"/>
        <v>0</v>
      </c>
      <c r="K147" s="505"/>
      <c r="L147" s="513"/>
      <c r="M147" s="505">
        <f t="shared" si="28"/>
        <v>0</v>
      </c>
      <c r="N147" s="513"/>
      <c r="O147" s="505">
        <f t="shared" si="29"/>
        <v>0</v>
      </c>
      <c r="P147" s="505">
        <f t="shared" si="30"/>
        <v>0</v>
      </c>
      <c r="Q147" s="244"/>
      <c r="R147" s="244"/>
      <c r="S147" s="244"/>
      <c r="T147" s="244"/>
      <c r="U147" s="244"/>
    </row>
    <row r="148" spans="2:21" ht="12.5">
      <c r="B148" s="145" t="str">
        <f t="shared" si="21"/>
        <v/>
      </c>
      <c r="C148" s="496">
        <f>IF(D94="","-",+C147+1)</f>
        <v>2061</v>
      </c>
      <c r="D148" s="350">
        <f>IF(F147+SUM(E$100:E147)=D$93,F147,D$93-SUM(E$100:E147))</f>
        <v>0</v>
      </c>
      <c r="E148" s="629">
        <f t="shared" si="23"/>
        <v>0</v>
      </c>
      <c r="F148" s="511">
        <f t="shared" si="24"/>
        <v>0</v>
      </c>
      <c r="G148" s="511">
        <f t="shared" si="25"/>
        <v>0</v>
      </c>
      <c r="H148" s="646">
        <f t="shared" si="27"/>
        <v>0</v>
      </c>
      <c r="I148" s="630">
        <f t="shared" si="26"/>
        <v>0</v>
      </c>
      <c r="J148" s="505">
        <f t="shared" si="22"/>
        <v>0</v>
      </c>
      <c r="K148" s="505"/>
      <c r="L148" s="513"/>
      <c r="M148" s="505">
        <f t="shared" si="28"/>
        <v>0</v>
      </c>
      <c r="N148" s="513"/>
      <c r="O148" s="505">
        <f t="shared" si="29"/>
        <v>0</v>
      </c>
      <c r="P148" s="505">
        <f t="shared" si="30"/>
        <v>0</v>
      </c>
      <c r="Q148" s="244"/>
      <c r="R148" s="244"/>
      <c r="S148" s="244"/>
      <c r="T148" s="244"/>
      <c r="U148" s="244"/>
    </row>
    <row r="149" spans="2:21" ht="12.5">
      <c r="B149" s="145" t="str">
        <f t="shared" si="21"/>
        <v/>
      </c>
      <c r="C149" s="496">
        <f>IF(D94="","-",+C148+1)</f>
        <v>2062</v>
      </c>
      <c r="D149" s="350">
        <f>IF(F148+SUM(E$100:E148)=D$93,F148,D$93-SUM(E$100:E148))</f>
        <v>0</v>
      </c>
      <c r="E149" s="629">
        <f t="shared" si="23"/>
        <v>0</v>
      </c>
      <c r="F149" s="511">
        <f t="shared" si="24"/>
        <v>0</v>
      </c>
      <c r="G149" s="511">
        <f t="shared" si="25"/>
        <v>0</v>
      </c>
      <c r="H149" s="646">
        <f t="shared" si="27"/>
        <v>0</v>
      </c>
      <c r="I149" s="630">
        <f t="shared" si="26"/>
        <v>0</v>
      </c>
      <c r="J149" s="505">
        <f t="shared" si="22"/>
        <v>0</v>
      </c>
      <c r="K149" s="505"/>
      <c r="L149" s="513"/>
      <c r="M149" s="505">
        <f t="shared" si="28"/>
        <v>0</v>
      </c>
      <c r="N149" s="513"/>
      <c r="O149" s="505">
        <f t="shared" si="29"/>
        <v>0</v>
      </c>
      <c r="P149" s="505">
        <f t="shared" si="30"/>
        <v>0</v>
      </c>
      <c r="Q149" s="244"/>
      <c r="R149" s="244"/>
      <c r="S149" s="244"/>
      <c r="T149" s="244"/>
      <c r="U149" s="244"/>
    </row>
    <row r="150" spans="2:21" ht="12.5">
      <c r="B150" s="145" t="str">
        <f t="shared" si="21"/>
        <v/>
      </c>
      <c r="C150" s="496">
        <f>IF(D94="","-",+C149+1)</f>
        <v>2063</v>
      </c>
      <c r="D150" s="350">
        <f>IF(F149+SUM(E$100:E149)=D$93,F149,D$93-SUM(E$100:E149))</f>
        <v>0</v>
      </c>
      <c r="E150" s="629">
        <f t="shared" si="23"/>
        <v>0</v>
      </c>
      <c r="F150" s="511">
        <f t="shared" si="24"/>
        <v>0</v>
      </c>
      <c r="G150" s="511">
        <f t="shared" si="25"/>
        <v>0</v>
      </c>
      <c r="H150" s="646">
        <f t="shared" si="27"/>
        <v>0</v>
      </c>
      <c r="I150" s="630">
        <f t="shared" si="26"/>
        <v>0</v>
      </c>
      <c r="J150" s="505">
        <f t="shared" si="22"/>
        <v>0</v>
      </c>
      <c r="K150" s="505"/>
      <c r="L150" s="513"/>
      <c r="M150" s="505">
        <f t="shared" si="28"/>
        <v>0</v>
      </c>
      <c r="N150" s="513"/>
      <c r="O150" s="505">
        <f t="shared" si="29"/>
        <v>0</v>
      </c>
      <c r="P150" s="505">
        <f t="shared" si="30"/>
        <v>0</v>
      </c>
      <c r="Q150" s="244"/>
      <c r="R150" s="244"/>
      <c r="S150" s="244"/>
      <c r="T150" s="244"/>
      <c r="U150" s="244"/>
    </row>
    <row r="151" spans="2:21" ht="12.5">
      <c r="B151" s="145" t="str">
        <f t="shared" si="21"/>
        <v/>
      </c>
      <c r="C151" s="496">
        <f>IF(D94="","-",+C150+1)</f>
        <v>2064</v>
      </c>
      <c r="D151" s="350">
        <f>IF(F150+SUM(E$100:E150)=D$93,F150,D$93-SUM(E$100:E150))</f>
        <v>0</v>
      </c>
      <c r="E151" s="629">
        <f t="shared" si="23"/>
        <v>0</v>
      </c>
      <c r="F151" s="511">
        <f t="shared" si="24"/>
        <v>0</v>
      </c>
      <c r="G151" s="511">
        <f t="shared" si="25"/>
        <v>0</v>
      </c>
      <c r="H151" s="646">
        <f t="shared" si="27"/>
        <v>0</v>
      </c>
      <c r="I151" s="630">
        <f t="shared" si="26"/>
        <v>0</v>
      </c>
      <c r="J151" s="505">
        <f t="shared" si="22"/>
        <v>0</v>
      </c>
      <c r="K151" s="505"/>
      <c r="L151" s="513"/>
      <c r="M151" s="505">
        <f t="shared" si="28"/>
        <v>0</v>
      </c>
      <c r="N151" s="513"/>
      <c r="O151" s="505">
        <f t="shared" si="29"/>
        <v>0</v>
      </c>
      <c r="P151" s="505">
        <f t="shared" si="30"/>
        <v>0</v>
      </c>
      <c r="Q151" s="244"/>
      <c r="R151" s="244"/>
      <c r="S151" s="244"/>
      <c r="T151" s="244"/>
      <c r="U151" s="244"/>
    </row>
    <row r="152" spans="2:21" ht="12.5">
      <c r="B152" s="145" t="str">
        <f t="shared" si="21"/>
        <v/>
      </c>
      <c r="C152" s="496">
        <f>IF(D94="","-",+C151+1)</f>
        <v>2065</v>
      </c>
      <c r="D152" s="350">
        <f>IF(F151+SUM(E$100:E151)=D$93,F151,D$93-SUM(E$100:E151))</f>
        <v>0</v>
      </c>
      <c r="E152" s="629">
        <f t="shared" si="23"/>
        <v>0</v>
      </c>
      <c r="F152" s="511">
        <f t="shared" si="24"/>
        <v>0</v>
      </c>
      <c r="G152" s="511">
        <f t="shared" si="25"/>
        <v>0</v>
      </c>
      <c r="H152" s="646">
        <f t="shared" si="27"/>
        <v>0</v>
      </c>
      <c r="I152" s="630">
        <f t="shared" si="26"/>
        <v>0</v>
      </c>
      <c r="J152" s="505">
        <f t="shared" si="22"/>
        <v>0</v>
      </c>
      <c r="K152" s="505"/>
      <c r="L152" s="513"/>
      <c r="M152" s="505">
        <f t="shared" si="28"/>
        <v>0</v>
      </c>
      <c r="N152" s="513"/>
      <c r="O152" s="505">
        <f t="shared" si="29"/>
        <v>0</v>
      </c>
      <c r="P152" s="505">
        <f t="shared" si="30"/>
        <v>0</v>
      </c>
      <c r="Q152" s="244"/>
      <c r="R152" s="244"/>
      <c r="S152" s="244"/>
      <c r="T152" s="244"/>
      <c r="U152" s="244"/>
    </row>
    <row r="153" spans="2:21" ht="12.5">
      <c r="B153" s="145" t="str">
        <f t="shared" si="21"/>
        <v/>
      </c>
      <c r="C153" s="496">
        <f>IF(D94="","-",+C152+1)</f>
        <v>2066</v>
      </c>
      <c r="D153" s="350">
        <f>IF(F152+SUM(E$100:E152)=D$93,F152,D$93-SUM(E$100:E152))</f>
        <v>0</v>
      </c>
      <c r="E153" s="629">
        <f t="shared" si="23"/>
        <v>0</v>
      </c>
      <c r="F153" s="511">
        <f t="shared" si="24"/>
        <v>0</v>
      </c>
      <c r="G153" s="511">
        <f t="shared" si="25"/>
        <v>0</v>
      </c>
      <c r="H153" s="646">
        <f t="shared" si="27"/>
        <v>0</v>
      </c>
      <c r="I153" s="630">
        <f t="shared" si="26"/>
        <v>0</v>
      </c>
      <c r="J153" s="505">
        <f t="shared" si="22"/>
        <v>0</v>
      </c>
      <c r="K153" s="505"/>
      <c r="L153" s="513"/>
      <c r="M153" s="505">
        <f t="shared" si="28"/>
        <v>0</v>
      </c>
      <c r="N153" s="513"/>
      <c r="O153" s="505">
        <f t="shared" si="29"/>
        <v>0</v>
      </c>
      <c r="P153" s="505">
        <f t="shared" si="30"/>
        <v>0</v>
      </c>
      <c r="Q153" s="244"/>
      <c r="R153" s="244"/>
      <c r="S153" s="244"/>
      <c r="T153" s="244"/>
      <c r="U153" s="244"/>
    </row>
    <row r="154" spans="2:21" ht="12.5">
      <c r="B154" s="145" t="str">
        <f t="shared" si="21"/>
        <v/>
      </c>
      <c r="C154" s="496">
        <f>IF(D94="","-",+C153+1)</f>
        <v>2067</v>
      </c>
      <c r="D154" s="350">
        <f>IF(F153+SUM(E$100:E153)=D$93,F153,D$93-SUM(E$100:E153))</f>
        <v>0</v>
      </c>
      <c r="E154" s="629">
        <f t="shared" si="23"/>
        <v>0</v>
      </c>
      <c r="F154" s="511">
        <f t="shared" si="24"/>
        <v>0</v>
      </c>
      <c r="G154" s="511">
        <f t="shared" si="25"/>
        <v>0</v>
      </c>
      <c r="H154" s="646">
        <f t="shared" si="27"/>
        <v>0</v>
      </c>
      <c r="I154" s="630">
        <f t="shared" si="26"/>
        <v>0</v>
      </c>
      <c r="J154" s="505">
        <f t="shared" si="22"/>
        <v>0</v>
      </c>
      <c r="K154" s="505"/>
      <c r="L154" s="513"/>
      <c r="M154" s="505">
        <f t="shared" si="28"/>
        <v>0</v>
      </c>
      <c r="N154" s="513"/>
      <c r="O154" s="505">
        <f t="shared" si="29"/>
        <v>0</v>
      </c>
      <c r="P154" s="505">
        <f t="shared" si="30"/>
        <v>0</v>
      </c>
      <c r="Q154" s="244"/>
      <c r="R154" s="244"/>
      <c r="S154" s="244"/>
      <c r="T154" s="244"/>
      <c r="U154" s="244"/>
    </row>
    <row r="155" spans="2:21" ht="13" thickBot="1">
      <c r="B155" s="145" t="str">
        <f t="shared" si="21"/>
        <v/>
      </c>
      <c r="C155" s="525">
        <f>IF(D94="","-",+C154+1)</f>
        <v>2068</v>
      </c>
      <c r="D155" s="619">
        <f>IF(F154+SUM(E$100:E154)=D$93,F154,D$93-SUM(E$100:E154))</f>
        <v>0</v>
      </c>
      <c r="E155" s="631">
        <f t="shared" si="23"/>
        <v>0</v>
      </c>
      <c r="F155" s="528">
        <f t="shared" si="24"/>
        <v>0</v>
      </c>
      <c r="G155" s="528">
        <f t="shared" si="25"/>
        <v>0</v>
      </c>
      <c r="H155" s="646">
        <f t="shared" si="27"/>
        <v>0</v>
      </c>
      <c r="I155" s="632">
        <f t="shared" si="26"/>
        <v>0</v>
      </c>
      <c r="J155" s="532">
        <f t="shared" si="22"/>
        <v>0</v>
      </c>
      <c r="K155" s="505"/>
      <c r="L155" s="531"/>
      <c r="M155" s="532">
        <f t="shared" si="28"/>
        <v>0</v>
      </c>
      <c r="N155" s="531"/>
      <c r="O155" s="532">
        <f t="shared" si="29"/>
        <v>0</v>
      </c>
      <c r="P155" s="532">
        <f t="shared" si="30"/>
        <v>0</v>
      </c>
      <c r="Q155" s="244"/>
      <c r="R155" s="244"/>
      <c r="S155" s="244"/>
      <c r="T155" s="244"/>
      <c r="U155" s="244"/>
    </row>
    <row r="156" spans="2:21" ht="12.5">
      <c r="C156" s="350" t="s">
        <v>75</v>
      </c>
      <c r="D156" s="295"/>
      <c r="E156" s="295">
        <f>SUM(E100:E155)</f>
        <v>7210309</v>
      </c>
      <c r="F156" s="295"/>
      <c r="G156" s="295"/>
      <c r="H156" s="295">
        <f>SUM(H100:H155)</f>
        <v>19232304.561422579</v>
      </c>
      <c r="I156" s="295">
        <f>SUM(I100:I155)</f>
        <v>19232304.561422579</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2" priority="1" stopIfTrue="1" operator="equal">
      <formula>$I$10</formula>
    </cfRule>
  </conditionalFormatting>
  <conditionalFormatting sqref="C100:C155">
    <cfRule type="cellIs" dxfId="31"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39997558519241921"/>
  </sheetPr>
  <dimension ref="A1:U163"/>
  <sheetViews>
    <sheetView tabSelected="1" view="pageBreakPreview" topLeftCell="A4"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11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2459032.5411911216</v>
      </c>
      <c r="P5" s="244"/>
      <c r="R5" s="244"/>
      <c r="S5" s="244"/>
      <c r="T5" s="244"/>
      <c r="U5" s="244"/>
    </row>
    <row r="6" spans="1:21" ht="15.5">
      <c r="C6" s="236"/>
      <c r="D6" s="293"/>
      <c r="E6" s="244"/>
      <c r="F6" s="244"/>
      <c r="G6" s="244"/>
      <c r="H6" s="450"/>
      <c r="I6" s="450"/>
      <c r="J6" s="451"/>
      <c r="K6" s="452" t="s">
        <v>243</v>
      </c>
      <c r="L6" s="453"/>
      <c r="M6" s="279"/>
      <c r="N6" s="454">
        <f>VLOOKUP(I10,C17:I73,6)</f>
        <v>2459032.5411911216</v>
      </c>
      <c r="O6" s="244"/>
      <c r="P6" s="244"/>
      <c r="R6" s="244"/>
      <c r="S6" s="244"/>
      <c r="T6" s="244"/>
      <c r="U6" s="244"/>
    </row>
    <row r="7" spans="1:21" ht="13.5" thickBot="1">
      <c r="C7" s="455" t="s">
        <v>46</v>
      </c>
      <c r="D7" s="456" t="s">
        <v>222</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221</v>
      </c>
      <c r="E9" s="466"/>
      <c r="F9" s="466"/>
      <c r="G9" s="466"/>
      <c r="H9" s="466"/>
      <c r="I9" s="467"/>
      <c r="J9" s="468"/>
      <c r="O9" s="469"/>
      <c r="P9" s="279"/>
      <c r="R9" s="244"/>
      <c r="S9" s="244"/>
      <c r="T9" s="244"/>
      <c r="U9" s="244"/>
    </row>
    <row r="10" spans="1:21" ht="13">
      <c r="C10" s="470" t="s">
        <v>49</v>
      </c>
      <c r="D10" s="471">
        <v>20242585</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11</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595370.1470588235</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613">
        <v>19043679.66</v>
      </c>
      <c r="E17" s="621">
        <v>27453.384639991029</v>
      </c>
      <c r="F17" s="613">
        <v>19016226.275360011</v>
      </c>
      <c r="G17" s="621">
        <v>376170.81030765898</v>
      </c>
      <c r="H17" s="618">
        <v>376170.81030765898</v>
      </c>
      <c r="I17" s="585">
        <v>0</v>
      </c>
      <c r="J17" s="501"/>
      <c r="K17" s="502">
        <f t="shared" ref="K17:K22" si="1">G17</f>
        <v>376170.81030765898</v>
      </c>
      <c r="L17" s="503">
        <f t="shared" ref="L17:L22" si="2">IF(K17&lt;&gt;0,+G17-K17,0)</f>
        <v>0</v>
      </c>
      <c r="M17" s="502">
        <f t="shared" ref="M17:M22" si="3">H17</f>
        <v>376170.81030765898</v>
      </c>
      <c r="N17" s="504">
        <f>IF(M17&lt;&gt;0,+H17-M17,0)</f>
        <v>0</v>
      </c>
      <c r="O17" s="505">
        <f>+N17-L17</f>
        <v>0</v>
      </c>
      <c r="P17" s="279"/>
      <c r="R17" s="244"/>
      <c r="S17" s="244"/>
      <c r="T17" s="244"/>
      <c r="U17" s="244"/>
    </row>
    <row r="18" spans="2:21" ht="12.5">
      <c r="B18" s="145" t="str">
        <f t="shared" si="0"/>
        <v/>
      </c>
      <c r="C18" s="496">
        <f>IF(D11="","-",+C17+1)</f>
        <v>2015</v>
      </c>
      <c r="D18" s="615">
        <v>19016226.275360011</v>
      </c>
      <c r="E18" s="614">
        <v>329440.61567989236</v>
      </c>
      <c r="F18" s="615">
        <v>18686785.659680117</v>
      </c>
      <c r="G18" s="614">
        <v>2255402.3674066337</v>
      </c>
      <c r="H18" s="618">
        <v>2255402.3674066337</v>
      </c>
      <c r="I18" s="501">
        <v>0</v>
      </c>
      <c r="J18" s="501"/>
      <c r="K18" s="507">
        <f t="shared" si="1"/>
        <v>2255402.3674066337</v>
      </c>
      <c r="L18" s="508">
        <f t="shared" si="2"/>
        <v>0</v>
      </c>
      <c r="M18" s="507">
        <f t="shared" si="3"/>
        <v>2255402.3674066337</v>
      </c>
      <c r="N18" s="505">
        <f>IF(M18&lt;&gt;0,+H18-M18,0)</f>
        <v>0</v>
      </c>
      <c r="O18" s="505">
        <f>+N18-L18</f>
        <v>0</v>
      </c>
      <c r="P18" s="279"/>
      <c r="R18" s="244"/>
      <c r="S18" s="244"/>
      <c r="T18" s="244"/>
      <c r="U18" s="244"/>
    </row>
    <row r="19" spans="2:21" ht="12.5">
      <c r="B19" s="145" t="str">
        <f t="shared" si="0"/>
        <v>IU</v>
      </c>
      <c r="C19" s="496">
        <f>IF(D11="","-",+C18+1)</f>
        <v>2016</v>
      </c>
      <c r="D19" s="615">
        <v>19821118.999680117</v>
      </c>
      <c r="E19" s="614">
        <v>419288.09601556091</v>
      </c>
      <c r="F19" s="615">
        <v>19401830.903664555</v>
      </c>
      <c r="G19" s="614">
        <v>2512364.7940132553</v>
      </c>
      <c r="H19" s="618">
        <v>2512364.7940132553</v>
      </c>
      <c r="I19" s="501">
        <f>H19-G19</f>
        <v>0</v>
      </c>
      <c r="J19" s="501"/>
      <c r="K19" s="507">
        <f t="shared" si="1"/>
        <v>2512364.7940132553</v>
      </c>
      <c r="L19" s="508">
        <f t="shared" si="2"/>
        <v>0</v>
      </c>
      <c r="M19" s="507">
        <f t="shared" si="3"/>
        <v>2512364.7940132553</v>
      </c>
      <c r="N19" s="505">
        <f t="shared" ref="N19:N73" si="4">IF(M19&lt;&gt;0,+H19-M19,0)</f>
        <v>0</v>
      </c>
      <c r="O19" s="505">
        <f t="shared" ref="O19:O73" si="5">+N19-L19</f>
        <v>0</v>
      </c>
      <c r="P19" s="279"/>
      <c r="R19" s="244"/>
      <c r="S19" s="244"/>
      <c r="T19" s="244"/>
      <c r="U19" s="244"/>
    </row>
    <row r="20" spans="2:21" ht="12.5">
      <c r="B20" s="145" t="str">
        <f t="shared" si="0"/>
        <v>IU</v>
      </c>
      <c r="C20" s="496">
        <f>IF(D11="","-",+C19+1)</f>
        <v>2017</v>
      </c>
      <c r="D20" s="615">
        <v>19471877.903664555</v>
      </c>
      <c r="E20" s="614">
        <v>398116.94637922302</v>
      </c>
      <c r="F20" s="615">
        <v>19073760.957285333</v>
      </c>
      <c r="G20" s="614">
        <v>2516970.1817795802</v>
      </c>
      <c r="H20" s="618">
        <v>2516970.1817795802</v>
      </c>
      <c r="I20" s="501">
        <f t="shared" ref="I20:I73" si="6">H20-G20</f>
        <v>0</v>
      </c>
      <c r="J20" s="501"/>
      <c r="K20" s="507">
        <f t="shared" si="1"/>
        <v>2516970.1817795802</v>
      </c>
      <c r="L20" s="508">
        <f t="shared" si="2"/>
        <v>0</v>
      </c>
      <c r="M20" s="507">
        <f t="shared" si="3"/>
        <v>2516970.1817795802</v>
      </c>
      <c r="N20" s="505">
        <f>IF(M20&lt;&gt;0,+H20-M20,0)</f>
        <v>0</v>
      </c>
      <c r="O20" s="505">
        <f>+N20-L20</f>
        <v>0</v>
      </c>
      <c r="P20" s="279"/>
      <c r="R20" s="244"/>
      <c r="S20" s="244"/>
      <c r="T20" s="244"/>
      <c r="U20" s="244"/>
    </row>
    <row r="21" spans="2:21" ht="12.5">
      <c r="B21" s="145" t="str">
        <f t="shared" si="0"/>
        <v/>
      </c>
      <c r="C21" s="496">
        <f>IF(D11="","-",+C20+1)</f>
        <v>2018</v>
      </c>
      <c r="D21" s="615">
        <v>19073760.957285333</v>
      </c>
      <c r="E21" s="614">
        <v>496575.20652112603</v>
      </c>
      <c r="F21" s="615">
        <v>18577185.750764206</v>
      </c>
      <c r="G21" s="614">
        <v>2708399.4041434019</v>
      </c>
      <c r="H21" s="618">
        <v>2708399.4041434019</v>
      </c>
      <c r="I21" s="501">
        <v>0</v>
      </c>
      <c r="J21" s="501"/>
      <c r="K21" s="507">
        <f t="shared" si="1"/>
        <v>2708399.4041434019</v>
      </c>
      <c r="L21" s="508">
        <f t="shared" si="2"/>
        <v>0</v>
      </c>
      <c r="M21" s="507">
        <f t="shared" si="3"/>
        <v>2708399.4041434019</v>
      </c>
      <c r="N21" s="505">
        <f>IF(M21&lt;&gt;0,+H21-M21,0)</f>
        <v>0</v>
      </c>
      <c r="O21" s="505">
        <f>+N21-L21</f>
        <v>0</v>
      </c>
      <c r="P21" s="279"/>
      <c r="R21" s="244"/>
      <c r="S21" s="244"/>
      <c r="T21" s="244"/>
      <c r="U21" s="244"/>
    </row>
    <row r="22" spans="2:21" ht="12.5">
      <c r="B22" s="145" t="str">
        <f t="shared" si="0"/>
        <v>IU</v>
      </c>
      <c r="C22" s="496">
        <f>IF(D11="","-",+C21+1)</f>
        <v>2019</v>
      </c>
      <c r="D22" s="615">
        <v>18578185.750764206</v>
      </c>
      <c r="E22" s="614">
        <v>496599.73110306234</v>
      </c>
      <c r="F22" s="615">
        <v>18081586.019661143</v>
      </c>
      <c r="G22" s="614">
        <v>2650196.8480595225</v>
      </c>
      <c r="H22" s="618">
        <v>2650196.8480595225</v>
      </c>
      <c r="I22" s="501">
        <f t="shared" si="6"/>
        <v>0</v>
      </c>
      <c r="J22" s="501"/>
      <c r="K22" s="507">
        <f t="shared" si="1"/>
        <v>2650196.8480595225</v>
      </c>
      <c r="L22" s="508">
        <f t="shared" si="2"/>
        <v>0</v>
      </c>
      <c r="M22" s="507">
        <f t="shared" si="3"/>
        <v>2650196.8480595225</v>
      </c>
      <c r="N22" s="505">
        <f>IF(M22&lt;&gt;0,+H22-M22,0)</f>
        <v>0</v>
      </c>
      <c r="O22" s="505">
        <f>+N22-L22</f>
        <v>0</v>
      </c>
      <c r="P22" s="279"/>
      <c r="R22" s="244"/>
      <c r="S22" s="244"/>
      <c r="T22" s="244"/>
      <c r="U22" s="244"/>
    </row>
    <row r="23" spans="2:21" ht="12.5">
      <c r="B23" s="145" t="str">
        <f t="shared" si="0"/>
        <v>IU</v>
      </c>
      <c r="C23" s="496">
        <f>IF(D11="","-",+C22+1)</f>
        <v>2020</v>
      </c>
      <c r="D23" s="615">
        <v>18080586.019661143</v>
      </c>
      <c r="E23" s="614">
        <v>592899.2478612588</v>
      </c>
      <c r="F23" s="615">
        <v>17487686.771799885</v>
      </c>
      <c r="G23" s="614">
        <v>2459032.5411911216</v>
      </c>
      <c r="H23" s="618">
        <v>2459032.5411911216</v>
      </c>
      <c r="I23" s="501">
        <f t="shared" si="6"/>
        <v>0</v>
      </c>
      <c r="J23" s="501"/>
      <c r="K23" s="507">
        <f t="shared" ref="K23" si="7">G23</f>
        <v>2459032.5411911216</v>
      </c>
      <c r="L23" s="508">
        <f t="shared" ref="L23" si="8">IF(K23&lt;&gt;0,+G23-K23,0)</f>
        <v>0</v>
      </c>
      <c r="M23" s="507">
        <f t="shared" ref="M23" si="9">H23</f>
        <v>2459032.5411911216</v>
      </c>
      <c r="N23" s="505">
        <f t="shared" si="4"/>
        <v>0</v>
      </c>
      <c r="O23" s="505">
        <f t="shared" si="5"/>
        <v>0</v>
      </c>
      <c r="P23" s="279"/>
      <c r="R23" s="244"/>
      <c r="S23" s="244"/>
      <c r="T23" s="244"/>
      <c r="U23" s="244"/>
    </row>
    <row r="24" spans="2:21" ht="12.5">
      <c r="B24" s="145" t="str">
        <f t="shared" si="0"/>
        <v>IU</v>
      </c>
      <c r="C24" s="496">
        <f>IF(D11="","-",+C23+1)</f>
        <v>2021</v>
      </c>
      <c r="D24" s="509">
        <f>IF(F23+SUM(E$17:E23)=D$10,F23,D$10-SUM(E$17:E23))</f>
        <v>17482211.771799885</v>
      </c>
      <c r="E24" s="510">
        <f t="shared" ref="E24:E73" si="10">IF(+$I$14&lt;F23,$I$14,D24)</f>
        <v>595370.1470588235</v>
      </c>
      <c r="F24" s="511">
        <f t="shared" ref="F24:F73" si="11">+D24-E24</f>
        <v>16886841.624741063</v>
      </c>
      <c r="G24" s="512">
        <f t="shared" ref="G24:G73" si="12">(D24+F24)/2*I$12+E24</f>
        <v>2424098.4810646148</v>
      </c>
      <c r="H24" s="478">
        <f t="shared" ref="H24:H73" si="13">+(D24+F24)/2*I$13+E24</f>
        <v>2424098.4810646148</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16886841.624741063</v>
      </c>
      <c r="E25" s="510">
        <f t="shared" si="10"/>
        <v>595370.1470588235</v>
      </c>
      <c r="F25" s="511">
        <f t="shared" si="11"/>
        <v>16291471.477682238</v>
      </c>
      <c r="G25" s="512">
        <f t="shared" si="12"/>
        <v>2360740.8875582865</v>
      </c>
      <c r="H25" s="478">
        <f t="shared" si="13"/>
        <v>2360740.8875582865</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16291471.477682238</v>
      </c>
      <c r="E26" s="510">
        <f t="shared" si="10"/>
        <v>595370.1470588235</v>
      </c>
      <c r="F26" s="511">
        <f t="shared" si="11"/>
        <v>15696101.330623414</v>
      </c>
      <c r="G26" s="512">
        <f t="shared" si="12"/>
        <v>2297383.2940519582</v>
      </c>
      <c r="H26" s="478">
        <f t="shared" si="13"/>
        <v>2297383.2940519582</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15696101.330623414</v>
      </c>
      <c r="E27" s="510">
        <f t="shared" si="10"/>
        <v>595370.1470588235</v>
      </c>
      <c r="F27" s="511">
        <f t="shared" si="11"/>
        <v>15100731.18356459</v>
      </c>
      <c r="G27" s="512">
        <f t="shared" si="12"/>
        <v>2234025.70054563</v>
      </c>
      <c r="H27" s="478">
        <f t="shared" si="13"/>
        <v>2234025.70054563</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15100731.18356459</v>
      </c>
      <c r="E28" s="510">
        <f t="shared" si="10"/>
        <v>595370.1470588235</v>
      </c>
      <c r="F28" s="511">
        <f t="shared" si="11"/>
        <v>14505361.036505766</v>
      </c>
      <c r="G28" s="512">
        <f t="shared" si="12"/>
        <v>2170668.1070393017</v>
      </c>
      <c r="H28" s="478">
        <f t="shared" si="13"/>
        <v>2170668.1070393017</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14505361.036505766</v>
      </c>
      <c r="E29" s="510">
        <f t="shared" si="10"/>
        <v>595370.1470588235</v>
      </c>
      <c r="F29" s="511">
        <f t="shared" si="11"/>
        <v>13909990.889446942</v>
      </c>
      <c r="G29" s="512">
        <f t="shared" si="12"/>
        <v>2107310.5135329734</v>
      </c>
      <c r="H29" s="478">
        <f t="shared" si="13"/>
        <v>2107310.5135329734</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13909990.889446942</v>
      </c>
      <c r="E30" s="510">
        <f t="shared" si="10"/>
        <v>595370.1470588235</v>
      </c>
      <c r="F30" s="511">
        <f t="shared" si="11"/>
        <v>13314620.742388118</v>
      </c>
      <c r="G30" s="512">
        <f t="shared" si="12"/>
        <v>2043952.9200266451</v>
      </c>
      <c r="H30" s="478">
        <f t="shared" si="13"/>
        <v>2043952.9200266451</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13314620.742388118</v>
      </c>
      <c r="E31" s="510">
        <f t="shared" si="10"/>
        <v>595370.1470588235</v>
      </c>
      <c r="F31" s="511">
        <f t="shared" si="11"/>
        <v>12719250.595329294</v>
      </c>
      <c r="G31" s="512">
        <f t="shared" si="12"/>
        <v>1980595.3265203168</v>
      </c>
      <c r="H31" s="478">
        <f t="shared" si="13"/>
        <v>1980595.3265203168</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12719250.595329294</v>
      </c>
      <c r="E32" s="510">
        <f>IF(+$I$14&lt;F31,$I$14,D32)</f>
        <v>595370.1470588235</v>
      </c>
      <c r="F32" s="511">
        <f>+D32-E32</f>
        <v>12123880.44827047</v>
      </c>
      <c r="G32" s="512">
        <f t="shared" si="12"/>
        <v>1917237.7330139885</v>
      </c>
      <c r="H32" s="478">
        <f t="shared" si="13"/>
        <v>1917237.7330139885</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12123880.44827047</v>
      </c>
      <c r="E33" s="510">
        <f>IF(+$I$14&lt;F32,$I$14,D33)</f>
        <v>595370.1470588235</v>
      </c>
      <c r="F33" s="511">
        <f>+D33-E33</f>
        <v>11528510.301211646</v>
      </c>
      <c r="G33" s="512">
        <f t="shared" si="12"/>
        <v>1853880.1395076602</v>
      </c>
      <c r="H33" s="478">
        <f t="shared" si="13"/>
        <v>1853880.1395076602</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11528510.301211646</v>
      </c>
      <c r="E34" s="516">
        <f t="shared" si="10"/>
        <v>595370.1470588235</v>
      </c>
      <c r="F34" s="517">
        <f t="shared" si="11"/>
        <v>10933140.154152822</v>
      </c>
      <c r="G34" s="512">
        <f t="shared" si="12"/>
        <v>1790522.5460013319</v>
      </c>
      <c r="H34" s="478">
        <f t="shared" si="13"/>
        <v>1790522.5460013319</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10933140.154152822</v>
      </c>
      <c r="E35" s="510">
        <f t="shared" si="10"/>
        <v>595370.1470588235</v>
      </c>
      <c r="F35" s="511">
        <f t="shared" si="11"/>
        <v>10337770.007093998</v>
      </c>
      <c r="G35" s="512">
        <f t="shared" si="12"/>
        <v>1727164.9524950041</v>
      </c>
      <c r="H35" s="478">
        <f t="shared" si="13"/>
        <v>1727164.9524950041</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10337770.007093998</v>
      </c>
      <c r="E36" s="510">
        <f t="shared" si="10"/>
        <v>595370.1470588235</v>
      </c>
      <c r="F36" s="511">
        <f t="shared" si="11"/>
        <v>9742399.8600351736</v>
      </c>
      <c r="G36" s="512">
        <f t="shared" si="12"/>
        <v>1663807.3589886753</v>
      </c>
      <c r="H36" s="478">
        <f t="shared" si="13"/>
        <v>1663807.3589886753</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9742399.8600351736</v>
      </c>
      <c r="E37" s="510">
        <f t="shared" si="10"/>
        <v>595370.1470588235</v>
      </c>
      <c r="F37" s="511">
        <f t="shared" si="11"/>
        <v>9147029.7129763495</v>
      </c>
      <c r="G37" s="512">
        <f t="shared" si="12"/>
        <v>1600449.7654823475</v>
      </c>
      <c r="H37" s="478">
        <f t="shared" si="13"/>
        <v>1600449.7654823475</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9147029.7129763495</v>
      </c>
      <c r="E38" s="510">
        <f t="shared" si="10"/>
        <v>595370.1470588235</v>
      </c>
      <c r="F38" s="511">
        <f t="shared" si="11"/>
        <v>8551659.5659175254</v>
      </c>
      <c r="G38" s="512">
        <f t="shared" si="12"/>
        <v>1537092.1719760187</v>
      </c>
      <c r="H38" s="478">
        <f t="shared" si="13"/>
        <v>1537092.1719760187</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8551659.5659175254</v>
      </c>
      <c r="E39" s="510">
        <f t="shared" si="10"/>
        <v>595370.1470588235</v>
      </c>
      <c r="F39" s="511">
        <f t="shared" si="11"/>
        <v>7956289.4188587023</v>
      </c>
      <c r="G39" s="512">
        <f t="shared" si="12"/>
        <v>1473734.5784696909</v>
      </c>
      <c r="H39" s="478">
        <f t="shared" si="13"/>
        <v>1473734.5784696909</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7956289.4188587023</v>
      </c>
      <c r="E40" s="510">
        <f t="shared" si="10"/>
        <v>595370.1470588235</v>
      </c>
      <c r="F40" s="511">
        <f t="shared" si="11"/>
        <v>7360919.2717998791</v>
      </c>
      <c r="G40" s="512">
        <f t="shared" si="12"/>
        <v>1410376.9849633626</v>
      </c>
      <c r="H40" s="478">
        <f t="shared" si="13"/>
        <v>1410376.9849633626</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7360919.2717998791</v>
      </c>
      <c r="E41" s="510">
        <f t="shared" si="10"/>
        <v>595370.1470588235</v>
      </c>
      <c r="F41" s="511">
        <f t="shared" si="11"/>
        <v>6765549.124741056</v>
      </c>
      <c r="G41" s="512">
        <f t="shared" si="12"/>
        <v>1347019.3914570343</v>
      </c>
      <c r="H41" s="478">
        <f t="shared" si="13"/>
        <v>1347019.3914570343</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6765549.124741056</v>
      </c>
      <c r="E42" s="510">
        <f t="shared" si="10"/>
        <v>595370.1470588235</v>
      </c>
      <c r="F42" s="511">
        <f t="shared" si="11"/>
        <v>6170178.9776822329</v>
      </c>
      <c r="G42" s="512">
        <f t="shared" si="12"/>
        <v>1283661.797950706</v>
      </c>
      <c r="H42" s="478">
        <f t="shared" si="13"/>
        <v>1283661.797950706</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6170178.9776822329</v>
      </c>
      <c r="E43" s="510">
        <f t="shared" si="10"/>
        <v>595370.1470588235</v>
      </c>
      <c r="F43" s="511">
        <f t="shared" si="11"/>
        <v>5574808.8306234097</v>
      </c>
      <c r="G43" s="512">
        <f t="shared" si="12"/>
        <v>1220304.2044443781</v>
      </c>
      <c r="H43" s="478">
        <f t="shared" si="13"/>
        <v>1220304.2044443781</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5574808.8306234097</v>
      </c>
      <c r="E44" s="510">
        <f t="shared" si="10"/>
        <v>595370.1470588235</v>
      </c>
      <c r="F44" s="511">
        <f t="shared" si="11"/>
        <v>4979438.6835645866</v>
      </c>
      <c r="G44" s="512">
        <f t="shared" si="12"/>
        <v>1156946.6109380499</v>
      </c>
      <c r="H44" s="478">
        <f t="shared" si="13"/>
        <v>1156946.6109380499</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4979438.6835645866</v>
      </c>
      <c r="E45" s="510">
        <f t="shared" si="10"/>
        <v>595370.1470588235</v>
      </c>
      <c r="F45" s="511">
        <f t="shared" si="11"/>
        <v>4384068.5365057634</v>
      </c>
      <c r="G45" s="512">
        <f t="shared" si="12"/>
        <v>1093589.0174317216</v>
      </c>
      <c r="H45" s="478">
        <f t="shared" si="13"/>
        <v>1093589.0174317216</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4384068.5365057634</v>
      </c>
      <c r="E46" s="510">
        <f t="shared" si="10"/>
        <v>595370.1470588235</v>
      </c>
      <c r="F46" s="511">
        <f t="shared" si="11"/>
        <v>3788698.3894469398</v>
      </c>
      <c r="G46" s="512">
        <f t="shared" si="12"/>
        <v>1030231.4239253934</v>
      </c>
      <c r="H46" s="478">
        <f t="shared" si="13"/>
        <v>1030231.4239253934</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3788698.3894469398</v>
      </c>
      <c r="E47" s="510">
        <f t="shared" si="10"/>
        <v>595370.1470588235</v>
      </c>
      <c r="F47" s="511">
        <f t="shared" si="11"/>
        <v>3193328.2423881162</v>
      </c>
      <c r="G47" s="512">
        <f t="shared" si="12"/>
        <v>966873.8304190652</v>
      </c>
      <c r="H47" s="478">
        <f t="shared" si="13"/>
        <v>966873.8304190652</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3193328.2423881162</v>
      </c>
      <c r="E48" s="510">
        <f t="shared" si="10"/>
        <v>595370.1470588235</v>
      </c>
      <c r="F48" s="511">
        <f t="shared" si="11"/>
        <v>2597958.0953292926</v>
      </c>
      <c r="G48" s="512">
        <f t="shared" si="12"/>
        <v>903516.2369127369</v>
      </c>
      <c r="H48" s="478">
        <f t="shared" si="13"/>
        <v>903516.2369127369</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2597958.0953292926</v>
      </c>
      <c r="E49" s="510">
        <f t="shared" si="10"/>
        <v>595370.1470588235</v>
      </c>
      <c r="F49" s="511">
        <f t="shared" si="11"/>
        <v>2002587.948270469</v>
      </c>
      <c r="G49" s="512">
        <f t="shared" si="12"/>
        <v>840158.64340640884</v>
      </c>
      <c r="H49" s="478">
        <f t="shared" si="13"/>
        <v>840158.64340640884</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2002587.948270469</v>
      </c>
      <c r="E50" s="510">
        <f t="shared" si="10"/>
        <v>595370.1470588235</v>
      </c>
      <c r="F50" s="511">
        <f t="shared" si="11"/>
        <v>1407217.8012116454</v>
      </c>
      <c r="G50" s="512">
        <f t="shared" si="12"/>
        <v>776801.04990008054</v>
      </c>
      <c r="H50" s="478">
        <f t="shared" si="13"/>
        <v>776801.04990008054</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1407217.8012116454</v>
      </c>
      <c r="E51" s="510">
        <f t="shared" si="10"/>
        <v>595370.1470588235</v>
      </c>
      <c r="F51" s="511">
        <f t="shared" si="11"/>
        <v>811847.65415282187</v>
      </c>
      <c r="G51" s="512">
        <f t="shared" si="12"/>
        <v>713443.45639375225</v>
      </c>
      <c r="H51" s="478">
        <f t="shared" si="13"/>
        <v>713443.45639375225</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811847.65415282187</v>
      </c>
      <c r="E52" s="510">
        <f t="shared" si="10"/>
        <v>595370.1470588235</v>
      </c>
      <c r="F52" s="511">
        <f t="shared" si="11"/>
        <v>216477.50709399837</v>
      </c>
      <c r="G52" s="512">
        <f t="shared" si="12"/>
        <v>650085.86288742407</v>
      </c>
      <c r="H52" s="478">
        <f t="shared" si="13"/>
        <v>650085.86288742407</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216477.50709399837</v>
      </c>
      <c r="E53" s="510">
        <f t="shared" si="10"/>
        <v>216477.50709399837</v>
      </c>
      <c r="F53" s="511">
        <f t="shared" si="11"/>
        <v>0</v>
      </c>
      <c r="G53" s="512">
        <f t="shared" si="12"/>
        <v>227995.96663171661</v>
      </c>
      <c r="H53" s="478">
        <f t="shared" si="13"/>
        <v>227995.96663171661</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0"/>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0"/>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0"/>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0"/>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0"/>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0"/>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0"/>
        <v>0</v>
      </c>
      <c r="F73" s="528">
        <f t="shared" si="11"/>
        <v>0</v>
      </c>
      <c r="G73" s="528">
        <f t="shared" si="12"/>
        <v>0</v>
      </c>
      <c r="H73" s="528">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20242584.999999993</v>
      </c>
      <c r="F74" s="295"/>
      <c r="G74" s="295">
        <f>SUM(G17:G73)</f>
        <v>60282205.900837429</v>
      </c>
      <c r="H74" s="295">
        <f>SUM(H17:H73)</f>
        <v>60282205.900837429</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11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2459032.5411911216</v>
      </c>
      <c r="N88" s="545">
        <f>IF(J93&lt;D11,0,VLOOKUP(J93,C17:O73,11))</f>
        <v>2459032.5411911216</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2578482.7265587896</v>
      </c>
      <c r="N89" s="549">
        <f>IF(J93&lt;D11,0,VLOOKUP(J93,C100:P155,7))</f>
        <v>2578482.7265587896</v>
      </c>
      <c r="O89" s="550">
        <f>+N89-M89</f>
        <v>0</v>
      </c>
      <c r="P89" s="244"/>
      <c r="Q89" s="244"/>
      <c r="R89" s="244"/>
      <c r="S89" s="244"/>
      <c r="T89" s="244"/>
      <c r="U89" s="244"/>
    </row>
    <row r="90" spans="1:21" ht="13.5" thickBot="1">
      <c r="C90" s="455" t="s">
        <v>82</v>
      </c>
      <c r="D90" s="551" t="str">
        <f>+D7</f>
        <v>Grady Customer Connection</v>
      </c>
      <c r="E90" s="244"/>
      <c r="F90" s="244"/>
      <c r="G90" s="244"/>
      <c r="H90" s="244"/>
      <c r="I90" s="326"/>
      <c r="J90" s="326"/>
      <c r="K90" s="552"/>
      <c r="L90" s="553" t="s">
        <v>135</v>
      </c>
      <c r="M90" s="554">
        <f>+M89-M88</f>
        <v>119450.18536766805</v>
      </c>
      <c r="N90" s="554">
        <f>+N89-N88</f>
        <v>119450.18536766805</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TP2013002</v>
      </c>
      <c r="E92" s="559"/>
      <c r="F92" s="559"/>
      <c r="G92" s="559"/>
      <c r="H92" s="559"/>
      <c r="I92" s="559"/>
      <c r="J92" s="559"/>
      <c r="K92" s="561"/>
      <c r="P92" s="469"/>
      <c r="Q92" s="244"/>
      <c r="R92" s="244"/>
      <c r="S92" s="244"/>
      <c r="T92" s="244"/>
      <c r="U92" s="244"/>
    </row>
    <row r="93" spans="1:21" ht="13">
      <c r="C93" s="473" t="s">
        <v>49</v>
      </c>
      <c r="D93" s="623">
        <v>20242585</v>
      </c>
      <c r="E93" s="249" t="s">
        <v>84</v>
      </c>
      <c r="H93" s="409"/>
      <c r="I93" s="409"/>
      <c r="J93" s="472">
        <f>+'OKT.WS.G.BPU.ATRR.True-up'!M16</f>
        <v>2020</v>
      </c>
      <c r="K93" s="468"/>
      <c r="L93" s="295" t="s">
        <v>85</v>
      </c>
      <c r="P93" s="279"/>
      <c r="Q93" s="244"/>
      <c r="R93" s="244"/>
      <c r="S93" s="244"/>
      <c r="T93" s="244"/>
      <c r="U93" s="244"/>
    </row>
    <row r="94" spans="1:21" ht="12.5">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11</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722949.46428571432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350"/>
      <c r="E100" s="512"/>
      <c r="F100" s="511"/>
      <c r="G100" s="606"/>
      <c r="H100" s="606"/>
      <c r="I100" s="606"/>
      <c r="J100" s="505"/>
      <c r="K100" s="505"/>
      <c r="L100" s="502"/>
      <c r="M100" s="503">
        <f t="shared" ref="M100:M131" si="15">IF(L100&lt;&gt;0,+H100-L100,0)</f>
        <v>0</v>
      </c>
      <c r="N100" s="502"/>
      <c r="O100" s="504">
        <f t="shared" ref="O100:O131" si="16">IF(N100&lt;&gt;0,+I100-N100,0)</f>
        <v>0</v>
      </c>
      <c r="P100" s="504">
        <f t="shared" ref="P100:P131" si="17">+O100-M100</f>
        <v>0</v>
      </c>
      <c r="Q100" s="244"/>
      <c r="R100" s="244"/>
      <c r="S100" s="244"/>
      <c r="T100" s="244"/>
      <c r="U100" s="244"/>
    </row>
    <row r="101" spans="1:21" ht="12.5">
      <c r="B101" s="145" t="str">
        <f t="shared" ref="B101:B155" si="18">IF(D101=F100,"","IU")</f>
        <v>IU</v>
      </c>
      <c r="C101" s="496">
        <f>IF(D94="","-",+C100+1)</f>
        <v>2015</v>
      </c>
      <c r="D101" s="497">
        <v>19016226.275360011</v>
      </c>
      <c r="E101" s="499">
        <v>416545.33333333331</v>
      </c>
      <c r="F101" s="506">
        <v>18599680.942026678</v>
      </c>
      <c r="G101" s="506">
        <v>18807953.608693346</v>
      </c>
      <c r="H101" s="499">
        <v>2510424.0615898012</v>
      </c>
      <c r="I101" s="500">
        <v>2510424.0615898012</v>
      </c>
      <c r="J101" s="505">
        <v>0</v>
      </c>
      <c r="K101" s="505"/>
      <c r="L101" s="507">
        <f>H101</f>
        <v>2510424.0615898012</v>
      </c>
      <c r="M101" s="505">
        <f>IF(L101&lt;&gt;0,+H101-L101,0)</f>
        <v>0</v>
      </c>
      <c r="N101" s="507">
        <f>I101</f>
        <v>2510424.0615898012</v>
      </c>
      <c r="O101" s="505">
        <f t="shared" si="16"/>
        <v>0</v>
      </c>
      <c r="P101" s="505">
        <f t="shared" si="17"/>
        <v>0</v>
      </c>
      <c r="Q101" s="244"/>
      <c r="R101" s="244"/>
      <c r="S101" s="244"/>
      <c r="T101" s="244"/>
      <c r="U101" s="244"/>
    </row>
    <row r="102" spans="1:21" ht="12.5">
      <c r="B102" s="145" t="str">
        <f t="shared" si="18"/>
        <v>IU</v>
      </c>
      <c r="C102" s="496">
        <f>IF(D94="","-",+C101+1)</f>
        <v>2016</v>
      </c>
      <c r="D102" s="497">
        <v>19825461.666666668</v>
      </c>
      <c r="E102" s="499">
        <v>396902.09803921566</v>
      </c>
      <c r="F102" s="506">
        <v>19428559.568627451</v>
      </c>
      <c r="G102" s="506">
        <v>19627010.617647059</v>
      </c>
      <c r="H102" s="499">
        <v>2523870.6286029778</v>
      </c>
      <c r="I102" s="500">
        <v>2523870.6286029778</v>
      </c>
      <c r="J102" s="505">
        <f>+I102-H102</f>
        <v>0</v>
      </c>
      <c r="K102" s="505"/>
      <c r="L102" s="507">
        <f>H102</f>
        <v>2523870.6286029778</v>
      </c>
      <c r="M102" s="505">
        <f>IF(L102&lt;&gt;0,+H102-L102,0)</f>
        <v>0</v>
      </c>
      <c r="N102" s="507">
        <f>I102</f>
        <v>2523870.6286029778</v>
      </c>
      <c r="O102" s="505">
        <f>IF(N102&lt;&gt;0,+I102-N102,0)</f>
        <v>0</v>
      </c>
      <c r="P102" s="505">
        <f>+O102-M102</f>
        <v>0</v>
      </c>
      <c r="Q102" s="244"/>
      <c r="R102" s="244"/>
      <c r="S102" s="244"/>
      <c r="T102" s="244"/>
      <c r="U102" s="244"/>
    </row>
    <row r="103" spans="1:21" ht="12.5">
      <c r="B103" s="145" t="str">
        <f t="shared" si="18"/>
        <v>IU</v>
      </c>
      <c r="C103" s="496">
        <f>IF(D94="","-",+C102+1)</f>
        <v>2017</v>
      </c>
      <c r="D103" s="497">
        <v>19429137.568627451</v>
      </c>
      <c r="E103" s="499">
        <v>506064.625</v>
      </c>
      <c r="F103" s="506">
        <v>18923072.943627451</v>
      </c>
      <c r="G103" s="506">
        <v>19176105.256127451</v>
      </c>
      <c r="H103" s="499">
        <v>2756109.5074390932</v>
      </c>
      <c r="I103" s="500">
        <v>2756109.5074390932</v>
      </c>
      <c r="J103" s="505">
        <v>0</v>
      </c>
      <c r="K103" s="505"/>
      <c r="L103" s="507">
        <f>H103</f>
        <v>2756109.5074390932</v>
      </c>
      <c r="M103" s="505">
        <f>IF(L103&lt;&gt;0,+H103-L103,0)</f>
        <v>0</v>
      </c>
      <c r="N103" s="507">
        <f>I103</f>
        <v>2756109.5074390932</v>
      </c>
      <c r="O103" s="505">
        <f>IF(N103&lt;&gt;0,+I103-N103,0)</f>
        <v>0</v>
      </c>
      <c r="P103" s="505">
        <f>+O103-M103</f>
        <v>0</v>
      </c>
      <c r="Q103" s="244"/>
      <c r="R103" s="244"/>
      <c r="S103" s="244"/>
      <c r="T103" s="244"/>
      <c r="U103" s="244"/>
    </row>
    <row r="104" spans="1:21" ht="12.5">
      <c r="B104" s="145" t="str">
        <f t="shared" si="18"/>
        <v/>
      </c>
      <c r="C104" s="496">
        <f>IF(D94="","-",+C103+1)</f>
        <v>2018</v>
      </c>
      <c r="D104" s="497">
        <v>18923072.943627451</v>
      </c>
      <c r="E104" s="499">
        <v>562294.02777777775</v>
      </c>
      <c r="F104" s="506">
        <v>18360778.915849674</v>
      </c>
      <c r="G104" s="506">
        <v>18641925.929738563</v>
      </c>
      <c r="H104" s="499">
        <v>2530181.3848446766</v>
      </c>
      <c r="I104" s="500">
        <v>2530181.3848446766</v>
      </c>
      <c r="J104" s="505">
        <f t="shared" ref="J104:J155" si="19">+I104-H104</f>
        <v>0</v>
      </c>
      <c r="K104" s="505"/>
      <c r="L104" s="507">
        <f>H104</f>
        <v>2530181.3848446766</v>
      </c>
      <c r="M104" s="505">
        <f>IF(L104&lt;&gt;0,+H104-L104,0)</f>
        <v>0</v>
      </c>
      <c r="N104" s="507">
        <f>I104</f>
        <v>2530181.3848446766</v>
      </c>
      <c r="O104" s="505">
        <f>IF(N104&lt;&gt;0,+I104-N104,0)</f>
        <v>0</v>
      </c>
      <c r="P104" s="505">
        <f>+O104-M104</f>
        <v>0</v>
      </c>
      <c r="Q104" s="244"/>
      <c r="R104" s="244"/>
      <c r="S104" s="244"/>
      <c r="T104" s="244"/>
      <c r="U104" s="244"/>
    </row>
    <row r="105" spans="1:21" ht="12.5">
      <c r="B105" s="145" t="str">
        <f t="shared" si="18"/>
        <v/>
      </c>
      <c r="C105" s="496">
        <f>IF(D94="","-",+C104+1)</f>
        <v>2019</v>
      </c>
      <c r="D105" s="497">
        <v>18360778.915849674</v>
      </c>
      <c r="E105" s="499">
        <v>562294.02777777775</v>
      </c>
      <c r="F105" s="506">
        <v>17798484.888071898</v>
      </c>
      <c r="G105" s="506">
        <v>18079631.901960786</v>
      </c>
      <c r="H105" s="499">
        <v>2470824.2501586666</v>
      </c>
      <c r="I105" s="500">
        <v>2470824.2501586666</v>
      </c>
      <c r="J105" s="505">
        <f t="shared" si="19"/>
        <v>0</v>
      </c>
      <c r="K105" s="505"/>
      <c r="L105" s="507">
        <f>H105</f>
        <v>2470824.2501586666</v>
      </c>
      <c r="M105" s="505">
        <f>IF(L105&lt;&gt;0,+H105-L105,0)</f>
        <v>0</v>
      </c>
      <c r="N105" s="507">
        <f>I105</f>
        <v>2470824.2501586666</v>
      </c>
      <c r="O105" s="505">
        <f t="shared" si="16"/>
        <v>0</v>
      </c>
      <c r="P105" s="505">
        <f t="shared" si="17"/>
        <v>0</v>
      </c>
      <c r="Q105" s="244"/>
      <c r="R105" s="244"/>
      <c r="S105" s="244"/>
      <c r="T105" s="244"/>
      <c r="U105" s="244"/>
    </row>
    <row r="106" spans="1:21" ht="12.5">
      <c r="B106" s="145" t="str">
        <f t="shared" si="18"/>
        <v/>
      </c>
      <c r="C106" s="496">
        <f>IF(D94="","-",+C105+1)</f>
        <v>2020</v>
      </c>
      <c r="D106" s="350">
        <f>IF(F105+SUM(E$100:E105)=D$93,F105,D$93-SUM(E$100:E105))</f>
        <v>17798484.888071898</v>
      </c>
      <c r="E106" s="629">
        <f t="shared" ref="E106:E155" si="20">IF(+$J$97&lt;F105,$J$97,D106)</f>
        <v>722949.46428571432</v>
      </c>
      <c r="F106" s="511">
        <f t="shared" ref="F106:F155" si="21">+D106-E106</f>
        <v>17075535.423786186</v>
      </c>
      <c r="G106" s="511">
        <f t="shared" ref="G106:G155" si="22">+(F106+D106)/2</f>
        <v>17437010.155929044</v>
      </c>
      <c r="H106" s="646">
        <f>(D106+F106)/2*J$95+E106</f>
        <v>2578482.7265587896</v>
      </c>
      <c r="I106" s="630">
        <f t="shared" ref="I106:I155" si="23">+J$96*G106+E106</f>
        <v>2578482.7265587896</v>
      </c>
      <c r="J106" s="505">
        <f t="shared" si="19"/>
        <v>0</v>
      </c>
      <c r="K106" s="505"/>
      <c r="L106" s="513"/>
      <c r="M106" s="505">
        <f t="shared" si="15"/>
        <v>0</v>
      </c>
      <c r="N106" s="513"/>
      <c r="O106" s="505">
        <f t="shared" si="16"/>
        <v>0</v>
      </c>
      <c r="P106" s="505">
        <f t="shared" si="17"/>
        <v>0</v>
      </c>
      <c r="Q106" s="244"/>
      <c r="R106" s="244"/>
      <c r="S106" s="244"/>
      <c r="T106" s="244"/>
      <c r="U106" s="244"/>
    </row>
    <row r="107" spans="1:21" ht="12.5">
      <c r="B107" s="145" t="str">
        <f t="shared" si="18"/>
        <v/>
      </c>
      <c r="C107" s="496">
        <f>IF(D94="","-",+C106+1)</f>
        <v>2021</v>
      </c>
      <c r="D107" s="350">
        <f>IF(F106+SUM(E$100:E106)=D$93,F106,D$93-SUM(E$100:E106))</f>
        <v>17075535.423786186</v>
      </c>
      <c r="E107" s="629">
        <f t="shared" si="20"/>
        <v>722949.46428571432</v>
      </c>
      <c r="F107" s="511">
        <f t="shared" si="21"/>
        <v>16352585.959500471</v>
      </c>
      <c r="G107" s="511">
        <f t="shared" si="22"/>
        <v>16714060.691643327</v>
      </c>
      <c r="H107" s="646">
        <f t="shared" ref="H107:H155" si="24">(D107+F107)/2*J$95+E107</f>
        <v>2501551.1444854424</v>
      </c>
      <c r="I107" s="630">
        <f t="shared" si="23"/>
        <v>2501551.1444854424</v>
      </c>
      <c r="J107" s="505">
        <f t="shared" si="19"/>
        <v>0</v>
      </c>
      <c r="K107" s="505"/>
      <c r="L107" s="513"/>
      <c r="M107" s="505">
        <f t="shared" si="15"/>
        <v>0</v>
      </c>
      <c r="N107" s="513"/>
      <c r="O107" s="505">
        <f t="shared" si="16"/>
        <v>0</v>
      </c>
      <c r="P107" s="505">
        <f t="shared" si="17"/>
        <v>0</v>
      </c>
      <c r="Q107" s="244"/>
      <c r="R107" s="244"/>
      <c r="S107" s="244"/>
      <c r="T107" s="244"/>
      <c r="U107" s="244"/>
    </row>
    <row r="108" spans="1:21" ht="12.5">
      <c r="B108" s="145" t="str">
        <f t="shared" si="18"/>
        <v/>
      </c>
      <c r="C108" s="496">
        <f>IF(D94="","-",+C107+1)</f>
        <v>2022</v>
      </c>
      <c r="D108" s="350">
        <f>IF(F107+SUM(E$100:E107)=D$93,F107,D$93-SUM(E$100:E107))</f>
        <v>16352585.959500471</v>
      </c>
      <c r="E108" s="629">
        <f t="shared" si="20"/>
        <v>722949.46428571432</v>
      </c>
      <c r="F108" s="511">
        <f t="shared" si="21"/>
        <v>15629636.495214757</v>
      </c>
      <c r="G108" s="511">
        <f t="shared" si="22"/>
        <v>15991111.227357615</v>
      </c>
      <c r="H108" s="646">
        <f t="shared" si="24"/>
        <v>2424619.5624120953</v>
      </c>
      <c r="I108" s="630">
        <f t="shared" si="23"/>
        <v>2424619.5624120953</v>
      </c>
      <c r="J108" s="505">
        <f t="shared" si="19"/>
        <v>0</v>
      </c>
      <c r="K108" s="505"/>
      <c r="L108" s="513"/>
      <c r="M108" s="505">
        <f t="shared" si="15"/>
        <v>0</v>
      </c>
      <c r="N108" s="513"/>
      <c r="O108" s="505">
        <f t="shared" si="16"/>
        <v>0</v>
      </c>
      <c r="P108" s="505">
        <f t="shared" si="17"/>
        <v>0</v>
      </c>
      <c r="Q108" s="244"/>
      <c r="R108" s="244"/>
      <c r="S108" s="244"/>
      <c r="T108" s="244"/>
      <c r="U108" s="244"/>
    </row>
    <row r="109" spans="1:21" ht="12.5">
      <c r="B109" s="145" t="str">
        <f t="shared" si="18"/>
        <v/>
      </c>
      <c r="C109" s="496">
        <f>IF(D94="","-",+C108+1)</f>
        <v>2023</v>
      </c>
      <c r="D109" s="350">
        <f>IF(F108+SUM(E$100:E108)=D$93,F108,D$93-SUM(E$100:E108))</f>
        <v>15629636.495214757</v>
      </c>
      <c r="E109" s="629">
        <f t="shared" si="20"/>
        <v>722949.46428571432</v>
      </c>
      <c r="F109" s="511">
        <f t="shared" si="21"/>
        <v>14906687.030929042</v>
      </c>
      <c r="G109" s="511">
        <f t="shared" si="22"/>
        <v>15268161.763071898</v>
      </c>
      <c r="H109" s="646">
        <f t="shared" si="24"/>
        <v>2347687.9803387476</v>
      </c>
      <c r="I109" s="630">
        <f t="shared" si="23"/>
        <v>2347687.9803387476</v>
      </c>
      <c r="J109" s="505">
        <f t="shared" si="19"/>
        <v>0</v>
      </c>
      <c r="K109" s="505"/>
      <c r="L109" s="513"/>
      <c r="M109" s="505">
        <f t="shared" si="15"/>
        <v>0</v>
      </c>
      <c r="N109" s="513"/>
      <c r="O109" s="505">
        <f t="shared" si="16"/>
        <v>0</v>
      </c>
      <c r="P109" s="505">
        <f t="shared" si="17"/>
        <v>0</v>
      </c>
      <c r="Q109" s="244"/>
      <c r="R109" s="244"/>
      <c r="S109" s="244"/>
      <c r="T109" s="244"/>
      <c r="U109" s="244"/>
    </row>
    <row r="110" spans="1:21" ht="12.5">
      <c r="B110" s="145" t="str">
        <f t="shared" si="18"/>
        <v/>
      </c>
      <c r="C110" s="496">
        <f>IF(D94="","-",+C109+1)</f>
        <v>2024</v>
      </c>
      <c r="D110" s="350">
        <f>IF(F109+SUM(E$100:E109)=D$93,F109,D$93-SUM(E$100:E109))</f>
        <v>14906687.030929042</v>
      </c>
      <c r="E110" s="629">
        <f t="shared" si="20"/>
        <v>722949.46428571432</v>
      </c>
      <c r="F110" s="511">
        <f t="shared" si="21"/>
        <v>14183737.566643327</v>
      </c>
      <c r="G110" s="511">
        <f t="shared" si="22"/>
        <v>14545212.298786186</v>
      </c>
      <c r="H110" s="646">
        <f t="shared" si="24"/>
        <v>2270756.3982654009</v>
      </c>
      <c r="I110" s="630">
        <f t="shared" si="23"/>
        <v>2270756.3982654009</v>
      </c>
      <c r="J110" s="505">
        <f t="shared" si="19"/>
        <v>0</v>
      </c>
      <c r="K110" s="505"/>
      <c r="L110" s="513"/>
      <c r="M110" s="505">
        <f t="shared" si="15"/>
        <v>0</v>
      </c>
      <c r="N110" s="513"/>
      <c r="O110" s="505">
        <f t="shared" si="16"/>
        <v>0</v>
      </c>
      <c r="P110" s="505">
        <f t="shared" si="17"/>
        <v>0</v>
      </c>
      <c r="Q110" s="244"/>
      <c r="R110" s="244"/>
      <c r="S110" s="244"/>
      <c r="T110" s="244"/>
      <c r="U110" s="244"/>
    </row>
    <row r="111" spans="1:21" ht="12.5">
      <c r="B111" s="145" t="str">
        <f t="shared" si="18"/>
        <v/>
      </c>
      <c r="C111" s="496">
        <f>IF(D94="","-",+C110+1)</f>
        <v>2025</v>
      </c>
      <c r="D111" s="350">
        <f>IF(F110+SUM(E$100:E110)=D$93,F110,D$93-SUM(E$100:E110))</f>
        <v>14183737.566643327</v>
      </c>
      <c r="E111" s="629">
        <f t="shared" si="20"/>
        <v>722949.46428571432</v>
      </c>
      <c r="F111" s="511">
        <f t="shared" si="21"/>
        <v>13460788.102357613</v>
      </c>
      <c r="G111" s="511">
        <f t="shared" si="22"/>
        <v>13822262.834500469</v>
      </c>
      <c r="H111" s="646">
        <f t="shared" si="24"/>
        <v>2193824.8161920533</v>
      </c>
      <c r="I111" s="630">
        <f t="shared" si="23"/>
        <v>2193824.8161920533</v>
      </c>
      <c r="J111" s="505">
        <f t="shared" si="19"/>
        <v>0</v>
      </c>
      <c r="K111" s="505"/>
      <c r="L111" s="513"/>
      <c r="M111" s="505">
        <f t="shared" si="15"/>
        <v>0</v>
      </c>
      <c r="N111" s="513"/>
      <c r="O111" s="505">
        <f t="shared" si="16"/>
        <v>0</v>
      </c>
      <c r="P111" s="505">
        <f t="shared" si="17"/>
        <v>0</v>
      </c>
      <c r="Q111" s="244"/>
      <c r="R111" s="244"/>
      <c r="S111" s="244"/>
      <c r="T111" s="244"/>
      <c r="U111" s="244"/>
    </row>
    <row r="112" spans="1:21" ht="12.5">
      <c r="B112" s="145" t="str">
        <f t="shared" si="18"/>
        <v/>
      </c>
      <c r="C112" s="496">
        <f>IF(D94="","-",+C111+1)</f>
        <v>2026</v>
      </c>
      <c r="D112" s="350">
        <f>IF(F111+SUM(E$100:E111)=D$93,F111,D$93-SUM(E$100:E111))</f>
        <v>13460788.102357613</v>
      </c>
      <c r="E112" s="629">
        <f t="shared" si="20"/>
        <v>722949.46428571432</v>
      </c>
      <c r="F112" s="511">
        <f t="shared" si="21"/>
        <v>12737838.638071898</v>
      </c>
      <c r="G112" s="511">
        <f t="shared" si="22"/>
        <v>13099313.370214757</v>
      </c>
      <c r="H112" s="646">
        <f t="shared" si="24"/>
        <v>2116893.2341187065</v>
      </c>
      <c r="I112" s="630">
        <f t="shared" si="23"/>
        <v>2116893.2341187065</v>
      </c>
      <c r="J112" s="505">
        <f t="shared" si="19"/>
        <v>0</v>
      </c>
      <c r="K112" s="505"/>
      <c r="L112" s="513"/>
      <c r="M112" s="505">
        <f t="shared" si="15"/>
        <v>0</v>
      </c>
      <c r="N112" s="513"/>
      <c r="O112" s="505">
        <f t="shared" si="16"/>
        <v>0</v>
      </c>
      <c r="P112" s="505">
        <f t="shared" si="17"/>
        <v>0</v>
      </c>
      <c r="Q112" s="244"/>
      <c r="R112" s="244"/>
      <c r="S112" s="244"/>
      <c r="T112" s="244"/>
      <c r="U112" s="244"/>
    </row>
    <row r="113" spans="2:21" ht="12.5">
      <c r="B113" s="145" t="str">
        <f t="shared" si="18"/>
        <v/>
      </c>
      <c r="C113" s="496">
        <f>IF(D94="","-",+C112+1)</f>
        <v>2027</v>
      </c>
      <c r="D113" s="350">
        <f>IF(F112+SUM(E$100:E112)=D$93,F112,D$93-SUM(E$100:E112))</f>
        <v>12737838.638071898</v>
      </c>
      <c r="E113" s="629">
        <f t="shared" si="20"/>
        <v>722949.46428571432</v>
      </c>
      <c r="F113" s="511">
        <f t="shared" si="21"/>
        <v>12014889.173786184</v>
      </c>
      <c r="G113" s="511">
        <f t="shared" si="22"/>
        <v>12376363.90592904</v>
      </c>
      <c r="H113" s="646">
        <f t="shared" si="24"/>
        <v>2039961.6520453591</v>
      </c>
      <c r="I113" s="630">
        <f t="shared" si="23"/>
        <v>2039961.6520453591</v>
      </c>
      <c r="J113" s="505">
        <f t="shared" si="19"/>
        <v>0</v>
      </c>
      <c r="K113" s="505"/>
      <c r="L113" s="513"/>
      <c r="M113" s="505">
        <f t="shared" si="15"/>
        <v>0</v>
      </c>
      <c r="N113" s="513"/>
      <c r="O113" s="505">
        <f t="shared" si="16"/>
        <v>0</v>
      </c>
      <c r="P113" s="505">
        <f t="shared" si="17"/>
        <v>0</v>
      </c>
      <c r="Q113" s="244"/>
      <c r="R113" s="244"/>
      <c r="S113" s="244"/>
      <c r="T113" s="244"/>
      <c r="U113" s="244"/>
    </row>
    <row r="114" spans="2:21" ht="12.5">
      <c r="B114" s="145" t="str">
        <f t="shared" si="18"/>
        <v/>
      </c>
      <c r="C114" s="496">
        <f>IF(D94="","-",+C113+1)</f>
        <v>2028</v>
      </c>
      <c r="D114" s="350">
        <f>IF(F113+SUM(E$100:E113)=D$93,F113,D$93-SUM(E$100:E113))</f>
        <v>12014889.173786184</v>
      </c>
      <c r="E114" s="629">
        <f t="shared" si="20"/>
        <v>722949.46428571432</v>
      </c>
      <c r="F114" s="511">
        <f t="shared" si="21"/>
        <v>11291939.709500469</v>
      </c>
      <c r="G114" s="511">
        <f t="shared" si="22"/>
        <v>11653414.441643327</v>
      </c>
      <c r="H114" s="646">
        <f t="shared" si="24"/>
        <v>1963030.069972012</v>
      </c>
      <c r="I114" s="630">
        <f t="shared" si="23"/>
        <v>1963030.069972012</v>
      </c>
      <c r="J114" s="505">
        <f t="shared" si="19"/>
        <v>0</v>
      </c>
      <c r="K114" s="505"/>
      <c r="L114" s="513"/>
      <c r="M114" s="505">
        <f t="shared" si="15"/>
        <v>0</v>
      </c>
      <c r="N114" s="513"/>
      <c r="O114" s="505">
        <f t="shared" si="16"/>
        <v>0</v>
      </c>
      <c r="P114" s="505">
        <f t="shared" si="17"/>
        <v>0</v>
      </c>
      <c r="Q114" s="244"/>
      <c r="R114" s="244"/>
      <c r="S114" s="244"/>
      <c r="T114" s="244"/>
      <c r="U114" s="244"/>
    </row>
    <row r="115" spans="2:21" ht="12.5">
      <c r="B115" s="145" t="str">
        <f t="shared" si="18"/>
        <v/>
      </c>
      <c r="C115" s="496">
        <f>IF(D94="","-",+C114+1)</f>
        <v>2029</v>
      </c>
      <c r="D115" s="350">
        <f>IF(F114+SUM(E$100:E114)=D$93,F114,D$93-SUM(E$100:E114))</f>
        <v>11291939.709500469</v>
      </c>
      <c r="E115" s="629">
        <f t="shared" si="20"/>
        <v>722949.46428571432</v>
      </c>
      <c r="F115" s="511">
        <f t="shared" si="21"/>
        <v>10568990.245214755</v>
      </c>
      <c r="G115" s="511">
        <f t="shared" si="22"/>
        <v>10930464.977357611</v>
      </c>
      <c r="H115" s="646">
        <f t="shared" si="24"/>
        <v>1886098.4878986645</v>
      </c>
      <c r="I115" s="630">
        <f t="shared" si="23"/>
        <v>1886098.4878986645</v>
      </c>
      <c r="J115" s="505">
        <f t="shared" si="19"/>
        <v>0</v>
      </c>
      <c r="K115" s="505"/>
      <c r="L115" s="513"/>
      <c r="M115" s="505">
        <f t="shared" si="15"/>
        <v>0</v>
      </c>
      <c r="N115" s="513"/>
      <c r="O115" s="505">
        <f t="shared" si="16"/>
        <v>0</v>
      </c>
      <c r="P115" s="505">
        <f t="shared" si="17"/>
        <v>0</v>
      </c>
      <c r="Q115" s="244"/>
      <c r="R115" s="244"/>
      <c r="S115" s="244"/>
      <c r="T115" s="244"/>
      <c r="U115" s="244"/>
    </row>
    <row r="116" spans="2:21" ht="12.5">
      <c r="B116" s="145" t="str">
        <f t="shared" si="18"/>
        <v/>
      </c>
      <c r="C116" s="496">
        <f>IF(D94="","-",+C115+1)</f>
        <v>2030</v>
      </c>
      <c r="D116" s="350">
        <f>IF(F115+SUM(E$100:E115)=D$93,F115,D$93-SUM(E$100:E115))</f>
        <v>10568990.245214755</v>
      </c>
      <c r="E116" s="629">
        <f t="shared" si="20"/>
        <v>722949.46428571432</v>
      </c>
      <c r="F116" s="511">
        <f t="shared" si="21"/>
        <v>9846040.7809290402</v>
      </c>
      <c r="G116" s="511">
        <f t="shared" si="22"/>
        <v>10207515.513071898</v>
      </c>
      <c r="H116" s="646">
        <f t="shared" si="24"/>
        <v>1809166.9058253176</v>
      </c>
      <c r="I116" s="630">
        <f t="shared" si="23"/>
        <v>1809166.9058253176</v>
      </c>
      <c r="J116" s="505">
        <f t="shared" si="19"/>
        <v>0</v>
      </c>
      <c r="K116" s="505"/>
      <c r="L116" s="513"/>
      <c r="M116" s="505">
        <f t="shared" si="15"/>
        <v>0</v>
      </c>
      <c r="N116" s="513"/>
      <c r="O116" s="505">
        <f t="shared" si="16"/>
        <v>0</v>
      </c>
      <c r="P116" s="505">
        <f t="shared" si="17"/>
        <v>0</v>
      </c>
      <c r="Q116" s="244"/>
      <c r="R116" s="244"/>
      <c r="S116" s="244"/>
      <c r="T116" s="244"/>
      <c r="U116" s="244"/>
    </row>
    <row r="117" spans="2:21" ht="12.5">
      <c r="B117" s="145" t="str">
        <f t="shared" si="18"/>
        <v/>
      </c>
      <c r="C117" s="496">
        <f>IF(D94="","-",+C116+1)</f>
        <v>2031</v>
      </c>
      <c r="D117" s="350">
        <f>IF(F116+SUM(E$100:E116)=D$93,F116,D$93-SUM(E$100:E116))</f>
        <v>9846040.7809290402</v>
      </c>
      <c r="E117" s="629">
        <f t="shared" si="20"/>
        <v>722949.46428571432</v>
      </c>
      <c r="F117" s="511">
        <f t="shared" si="21"/>
        <v>9123091.3166433256</v>
      </c>
      <c r="G117" s="511">
        <f t="shared" si="22"/>
        <v>9484566.048786182</v>
      </c>
      <c r="H117" s="646">
        <f t="shared" si="24"/>
        <v>1732235.3237519702</v>
      </c>
      <c r="I117" s="630">
        <f t="shared" si="23"/>
        <v>1732235.3237519702</v>
      </c>
      <c r="J117" s="505">
        <f t="shared" si="19"/>
        <v>0</v>
      </c>
      <c r="K117" s="505"/>
      <c r="L117" s="513"/>
      <c r="M117" s="505">
        <f t="shared" si="15"/>
        <v>0</v>
      </c>
      <c r="N117" s="513"/>
      <c r="O117" s="505">
        <f t="shared" si="16"/>
        <v>0</v>
      </c>
      <c r="P117" s="505">
        <f t="shared" si="17"/>
        <v>0</v>
      </c>
      <c r="Q117" s="244"/>
      <c r="R117" s="244"/>
      <c r="S117" s="244"/>
      <c r="T117" s="244"/>
      <c r="U117" s="244"/>
    </row>
    <row r="118" spans="2:21" ht="12.5">
      <c r="B118" s="145" t="str">
        <f t="shared" si="18"/>
        <v/>
      </c>
      <c r="C118" s="496">
        <f>IF(D94="","-",+C117+1)</f>
        <v>2032</v>
      </c>
      <c r="D118" s="350">
        <f>IF(F117+SUM(E$100:E117)=D$93,F117,D$93-SUM(E$100:E117))</f>
        <v>9123091.3166433256</v>
      </c>
      <c r="E118" s="629">
        <f t="shared" si="20"/>
        <v>722949.46428571432</v>
      </c>
      <c r="F118" s="511">
        <f t="shared" si="21"/>
        <v>8400141.8523576111</v>
      </c>
      <c r="G118" s="511">
        <f t="shared" si="22"/>
        <v>8761616.5845004693</v>
      </c>
      <c r="H118" s="646">
        <f t="shared" si="24"/>
        <v>1655303.741678623</v>
      </c>
      <c r="I118" s="630">
        <f t="shared" si="23"/>
        <v>1655303.741678623</v>
      </c>
      <c r="J118" s="505">
        <f t="shared" si="19"/>
        <v>0</v>
      </c>
      <c r="K118" s="505"/>
      <c r="L118" s="513"/>
      <c r="M118" s="505">
        <f t="shared" si="15"/>
        <v>0</v>
      </c>
      <c r="N118" s="513"/>
      <c r="O118" s="505">
        <f t="shared" si="16"/>
        <v>0</v>
      </c>
      <c r="P118" s="505">
        <f t="shared" si="17"/>
        <v>0</v>
      </c>
      <c r="Q118" s="244"/>
      <c r="R118" s="244"/>
      <c r="S118" s="244"/>
      <c r="T118" s="244"/>
      <c r="U118" s="244"/>
    </row>
    <row r="119" spans="2:21" ht="12.5">
      <c r="B119" s="145" t="str">
        <f t="shared" si="18"/>
        <v/>
      </c>
      <c r="C119" s="496">
        <f>IF(D94="","-",+C118+1)</f>
        <v>2033</v>
      </c>
      <c r="D119" s="350">
        <f>IF(F118+SUM(E$100:E118)=D$93,F118,D$93-SUM(E$100:E118))</f>
        <v>8400141.8523576111</v>
      </c>
      <c r="E119" s="629">
        <f t="shared" si="20"/>
        <v>722949.46428571432</v>
      </c>
      <c r="F119" s="511">
        <f t="shared" si="21"/>
        <v>7677192.3880718965</v>
      </c>
      <c r="G119" s="511">
        <f t="shared" si="22"/>
        <v>8038667.1202147538</v>
      </c>
      <c r="H119" s="646">
        <f t="shared" si="24"/>
        <v>1578372.1596052758</v>
      </c>
      <c r="I119" s="630">
        <f t="shared" si="23"/>
        <v>1578372.1596052758</v>
      </c>
      <c r="J119" s="505">
        <f t="shared" si="19"/>
        <v>0</v>
      </c>
      <c r="K119" s="505"/>
      <c r="L119" s="513"/>
      <c r="M119" s="505">
        <f t="shared" si="15"/>
        <v>0</v>
      </c>
      <c r="N119" s="513"/>
      <c r="O119" s="505">
        <f t="shared" si="16"/>
        <v>0</v>
      </c>
      <c r="P119" s="505">
        <f t="shared" si="17"/>
        <v>0</v>
      </c>
      <c r="Q119" s="244"/>
      <c r="R119" s="244"/>
      <c r="S119" s="244"/>
      <c r="T119" s="244"/>
      <c r="U119" s="244"/>
    </row>
    <row r="120" spans="2:21" ht="12.5">
      <c r="B120" s="145" t="str">
        <f t="shared" si="18"/>
        <v/>
      </c>
      <c r="C120" s="496">
        <f>IF(D94="","-",+C119+1)</f>
        <v>2034</v>
      </c>
      <c r="D120" s="350">
        <f>IF(F119+SUM(E$100:E119)=D$93,F119,D$93-SUM(E$100:E119))</f>
        <v>7677192.3880718965</v>
      </c>
      <c r="E120" s="629">
        <f t="shared" si="20"/>
        <v>722949.46428571432</v>
      </c>
      <c r="F120" s="511">
        <f t="shared" si="21"/>
        <v>6954242.923786182</v>
      </c>
      <c r="G120" s="511">
        <f t="shared" si="22"/>
        <v>7315717.6559290392</v>
      </c>
      <c r="H120" s="646">
        <f t="shared" si="24"/>
        <v>1501440.5775319287</v>
      </c>
      <c r="I120" s="630">
        <f t="shared" si="23"/>
        <v>1501440.5775319287</v>
      </c>
      <c r="J120" s="505">
        <f t="shared" si="19"/>
        <v>0</v>
      </c>
      <c r="K120" s="505"/>
      <c r="L120" s="513"/>
      <c r="M120" s="505">
        <f t="shared" si="15"/>
        <v>0</v>
      </c>
      <c r="N120" s="513"/>
      <c r="O120" s="505">
        <f t="shared" si="16"/>
        <v>0</v>
      </c>
      <c r="P120" s="505">
        <f t="shared" si="17"/>
        <v>0</v>
      </c>
      <c r="Q120" s="244"/>
      <c r="R120" s="244"/>
      <c r="S120" s="244"/>
      <c r="T120" s="244"/>
      <c r="U120" s="244"/>
    </row>
    <row r="121" spans="2:21" ht="12.5">
      <c r="B121" s="145" t="str">
        <f t="shared" si="18"/>
        <v/>
      </c>
      <c r="C121" s="496">
        <f>IF(D94="","-",+C120+1)</f>
        <v>2035</v>
      </c>
      <c r="D121" s="350">
        <f>IF(F120+SUM(E$100:E120)=D$93,F120,D$93-SUM(E$100:E120))</f>
        <v>6954242.923786182</v>
      </c>
      <c r="E121" s="629">
        <f t="shared" si="20"/>
        <v>722949.46428571432</v>
      </c>
      <c r="F121" s="511">
        <f t="shared" si="21"/>
        <v>6231293.4595004674</v>
      </c>
      <c r="G121" s="511">
        <f t="shared" si="22"/>
        <v>6592768.1916433247</v>
      </c>
      <c r="H121" s="646">
        <f t="shared" si="24"/>
        <v>1424508.9954585815</v>
      </c>
      <c r="I121" s="630">
        <f t="shared" si="23"/>
        <v>1424508.9954585815</v>
      </c>
      <c r="J121" s="505">
        <f t="shared" si="19"/>
        <v>0</v>
      </c>
      <c r="K121" s="505"/>
      <c r="L121" s="513"/>
      <c r="M121" s="505">
        <f t="shared" si="15"/>
        <v>0</v>
      </c>
      <c r="N121" s="513"/>
      <c r="O121" s="505">
        <f t="shared" si="16"/>
        <v>0</v>
      </c>
      <c r="P121" s="505">
        <f t="shared" si="17"/>
        <v>0</v>
      </c>
      <c r="Q121" s="244"/>
      <c r="R121" s="244"/>
      <c r="S121" s="244"/>
      <c r="T121" s="244"/>
      <c r="U121" s="244"/>
    </row>
    <row r="122" spans="2:21" ht="12.5">
      <c r="B122" s="145" t="str">
        <f t="shared" si="18"/>
        <v/>
      </c>
      <c r="C122" s="496">
        <f>IF(D94="","-",+C121+1)</f>
        <v>2036</v>
      </c>
      <c r="D122" s="350">
        <f>IF(F121+SUM(E$100:E121)=D$93,F121,D$93-SUM(E$100:E121))</f>
        <v>6231293.4595004674</v>
      </c>
      <c r="E122" s="629">
        <f t="shared" si="20"/>
        <v>722949.46428571432</v>
      </c>
      <c r="F122" s="511">
        <f t="shared" si="21"/>
        <v>5508343.9952147529</v>
      </c>
      <c r="G122" s="511">
        <f t="shared" si="22"/>
        <v>5869818.7273576101</v>
      </c>
      <c r="H122" s="646">
        <f t="shared" si="24"/>
        <v>1347577.4133852343</v>
      </c>
      <c r="I122" s="630">
        <f t="shared" si="23"/>
        <v>1347577.4133852343</v>
      </c>
      <c r="J122" s="505">
        <f t="shared" si="19"/>
        <v>0</v>
      </c>
      <c r="K122" s="505"/>
      <c r="L122" s="513"/>
      <c r="M122" s="505">
        <f t="shared" si="15"/>
        <v>0</v>
      </c>
      <c r="N122" s="513"/>
      <c r="O122" s="505">
        <f t="shared" si="16"/>
        <v>0</v>
      </c>
      <c r="P122" s="505">
        <f t="shared" si="17"/>
        <v>0</v>
      </c>
      <c r="Q122" s="244"/>
      <c r="R122" s="244"/>
      <c r="S122" s="244"/>
      <c r="T122" s="244"/>
      <c r="U122" s="244"/>
    </row>
    <row r="123" spans="2:21" ht="12.5">
      <c r="B123" s="145" t="str">
        <f t="shared" si="18"/>
        <v/>
      </c>
      <c r="C123" s="496">
        <f>IF(D94="","-",+C122+1)</f>
        <v>2037</v>
      </c>
      <c r="D123" s="350">
        <f>IF(F122+SUM(E$100:E122)=D$93,F122,D$93-SUM(E$100:E122))</f>
        <v>5508343.9952147529</v>
      </c>
      <c r="E123" s="629">
        <f t="shared" si="20"/>
        <v>722949.46428571432</v>
      </c>
      <c r="F123" s="511">
        <f t="shared" si="21"/>
        <v>4785394.5309290383</v>
      </c>
      <c r="G123" s="511">
        <f t="shared" si="22"/>
        <v>5146869.2630718956</v>
      </c>
      <c r="H123" s="646">
        <f t="shared" si="24"/>
        <v>1270645.8313118871</v>
      </c>
      <c r="I123" s="630">
        <f t="shared" si="23"/>
        <v>1270645.8313118871</v>
      </c>
      <c r="J123" s="505">
        <f t="shared" si="19"/>
        <v>0</v>
      </c>
      <c r="K123" s="505"/>
      <c r="L123" s="513"/>
      <c r="M123" s="505">
        <f t="shared" si="15"/>
        <v>0</v>
      </c>
      <c r="N123" s="513"/>
      <c r="O123" s="505">
        <f t="shared" si="16"/>
        <v>0</v>
      </c>
      <c r="P123" s="505">
        <f t="shared" si="17"/>
        <v>0</v>
      </c>
      <c r="Q123" s="244"/>
      <c r="R123" s="244"/>
      <c r="S123" s="244"/>
      <c r="T123" s="244"/>
      <c r="U123" s="244"/>
    </row>
    <row r="124" spans="2:21" ht="12.5">
      <c r="B124" s="145" t="str">
        <f t="shared" si="18"/>
        <v/>
      </c>
      <c r="C124" s="496">
        <f>IF(D94="","-",+C123+1)</f>
        <v>2038</v>
      </c>
      <c r="D124" s="350">
        <f>IF(F123+SUM(E$100:E123)=D$93,F123,D$93-SUM(E$100:E123))</f>
        <v>4785394.5309290383</v>
      </c>
      <c r="E124" s="629">
        <f t="shared" si="20"/>
        <v>722949.46428571432</v>
      </c>
      <c r="F124" s="511">
        <f t="shared" si="21"/>
        <v>4062445.0666433237</v>
      </c>
      <c r="G124" s="511">
        <f t="shared" si="22"/>
        <v>4423919.798786181</v>
      </c>
      <c r="H124" s="646">
        <f t="shared" si="24"/>
        <v>1193714.2492385397</v>
      </c>
      <c r="I124" s="630">
        <f t="shared" si="23"/>
        <v>1193714.2492385397</v>
      </c>
      <c r="J124" s="505">
        <f t="shared" si="19"/>
        <v>0</v>
      </c>
      <c r="K124" s="505"/>
      <c r="L124" s="513"/>
      <c r="M124" s="505">
        <f t="shared" si="15"/>
        <v>0</v>
      </c>
      <c r="N124" s="513"/>
      <c r="O124" s="505">
        <f t="shared" si="16"/>
        <v>0</v>
      </c>
      <c r="P124" s="505">
        <f t="shared" si="17"/>
        <v>0</v>
      </c>
      <c r="Q124" s="244"/>
      <c r="R124" s="244"/>
      <c r="S124" s="244"/>
      <c r="T124" s="244"/>
      <c r="U124" s="244"/>
    </row>
    <row r="125" spans="2:21" ht="12.5">
      <c r="B125" s="145" t="str">
        <f t="shared" si="18"/>
        <v/>
      </c>
      <c r="C125" s="496">
        <f>IF(D94="","-",+C124+1)</f>
        <v>2039</v>
      </c>
      <c r="D125" s="350">
        <f>IF(F124+SUM(E$100:E124)=D$93,F124,D$93-SUM(E$100:E124))</f>
        <v>4062445.0666433237</v>
      </c>
      <c r="E125" s="629">
        <f t="shared" si="20"/>
        <v>722949.46428571432</v>
      </c>
      <c r="F125" s="511">
        <f t="shared" si="21"/>
        <v>3339495.6023576092</v>
      </c>
      <c r="G125" s="511">
        <f t="shared" si="22"/>
        <v>3700970.3345004665</v>
      </c>
      <c r="H125" s="646">
        <f t="shared" si="24"/>
        <v>1116782.6671651925</v>
      </c>
      <c r="I125" s="630">
        <f t="shared" si="23"/>
        <v>1116782.6671651925</v>
      </c>
      <c r="J125" s="505">
        <f t="shared" si="19"/>
        <v>0</v>
      </c>
      <c r="K125" s="505"/>
      <c r="L125" s="513"/>
      <c r="M125" s="505">
        <f t="shared" si="15"/>
        <v>0</v>
      </c>
      <c r="N125" s="513"/>
      <c r="O125" s="505">
        <f t="shared" si="16"/>
        <v>0</v>
      </c>
      <c r="P125" s="505">
        <f t="shared" si="17"/>
        <v>0</v>
      </c>
      <c r="Q125" s="244"/>
      <c r="R125" s="244"/>
      <c r="S125" s="244"/>
      <c r="T125" s="244"/>
      <c r="U125" s="244"/>
    </row>
    <row r="126" spans="2:21" ht="12.5">
      <c r="B126" s="145" t="str">
        <f t="shared" si="18"/>
        <v/>
      </c>
      <c r="C126" s="496">
        <f>IF(D94="","-",+C125+1)</f>
        <v>2040</v>
      </c>
      <c r="D126" s="350">
        <f>IF(F125+SUM(E$100:E125)=D$93,F125,D$93-SUM(E$100:E125))</f>
        <v>3339495.6023576092</v>
      </c>
      <c r="E126" s="629">
        <f t="shared" si="20"/>
        <v>722949.46428571432</v>
      </c>
      <c r="F126" s="511">
        <f t="shared" si="21"/>
        <v>2616546.1380718946</v>
      </c>
      <c r="G126" s="511">
        <f t="shared" si="22"/>
        <v>2978020.8702147519</v>
      </c>
      <c r="H126" s="646">
        <f t="shared" si="24"/>
        <v>1039851.0850918454</v>
      </c>
      <c r="I126" s="630">
        <f t="shared" si="23"/>
        <v>1039851.0850918454</v>
      </c>
      <c r="J126" s="505">
        <f t="shared" si="19"/>
        <v>0</v>
      </c>
      <c r="K126" s="505"/>
      <c r="L126" s="513"/>
      <c r="M126" s="505">
        <f t="shared" si="15"/>
        <v>0</v>
      </c>
      <c r="N126" s="513"/>
      <c r="O126" s="505">
        <f t="shared" si="16"/>
        <v>0</v>
      </c>
      <c r="P126" s="505">
        <f t="shared" si="17"/>
        <v>0</v>
      </c>
      <c r="Q126" s="244"/>
      <c r="R126" s="244"/>
      <c r="S126" s="244"/>
      <c r="T126" s="244"/>
      <c r="U126" s="244"/>
    </row>
    <row r="127" spans="2:21" ht="12.5">
      <c r="B127" s="145" t="str">
        <f t="shared" si="18"/>
        <v/>
      </c>
      <c r="C127" s="496">
        <f>IF(D94="","-",+C126+1)</f>
        <v>2041</v>
      </c>
      <c r="D127" s="350">
        <f>IF(F126+SUM(E$100:E126)=D$93,F126,D$93-SUM(E$100:E126))</f>
        <v>2616546.1380718946</v>
      </c>
      <c r="E127" s="629">
        <f t="shared" si="20"/>
        <v>722949.46428571432</v>
      </c>
      <c r="F127" s="511">
        <f t="shared" si="21"/>
        <v>1893596.6737861803</v>
      </c>
      <c r="G127" s="511">
        <f t="shared" si="22"/>
        <v>2255071.4059290374</v>
      </c>
      <c r="H127" s="646">
        <f t="shared" si="24"/>
        <v>962919.50301849819</v>
      </c>
      <c r="I127" s="630">
        <f t="shared" si="23"/>
        <v>962919.50301849819</v>
      </c>
      <c r="J127" s="505">
        <f t="shared" si="19"/>
        <v>0</v>
      </c>
      <c r="K127" s="505"/>
      <c r="L127" s="513"/>
      <c r="M127" s="505">
        <f t="shared" si="15"/>
        <v>0</v>
      </c>
      <c r="N127" s="513"/>
      <c r="O127" s="505">
        <f t="shared" si="16"/>
        <v>0</v>
      </c>
      <c r="P127" s="505">
        <f t="shared" si="17"/>
        <v>0</v>
      </c>
      <c r="Q127" s="244"/>
      <c r="R127" s="244"/>
      <c r="S127" s="244"/>
      <c r="T127" s="244"/>
      <c r="U127" s="244"/>
    </row>
    <row r="128" spans="2:21" ht="12.5">
      <c r="B128" s="145" t="str">
        <f t="shared" si="18"/>
        <v/>
      </c>
      <c r="C128" s="496">
        <f>IF(D94="","-",+C127+1)</f>
        <v>2042</v>
      </c>
      <c r="D128" s="350">
        <f>IF(F127+SUM(E$100:E127)=D$93,F127,D$93-SUM(E$100:E127))</f>
        <v>1893596.6737861803</v>
      </c>
      <c r="E128" s="629">
        <f t="shared" si="20"/>
        <v>722949.46428571432</v>
      </c>
      <c r="F128" s="511">
        <f t="shared" si="21"/>
        <v>1170647.209500466</v>
      </c>
      <c r="G128" s="511">
        <f t="shared" si="22"/>
        <v>1532121.9416433233</v>
      </c>
      <c r="H128" s="646">
        <f t="shared" si="24"/>
        <v>885987.92094515101</v>
      </c>
      <c r="I128" s="630">
        <f t="shared" si="23"/>
        <v>885987.92094515101</v>
      </c>
      <c r="J128" s="505">
        <f t="shared" si="19"/>
        <v>0</v>
      </c>
      <c r="K128" s="505"/>
      <c r="L128" s="513"/>
      <c r="M128" s="505">
        <f t="shared" si="15"/>
        <v>0</v>
      </c>
      <c r="N128" s="513"/>
      <c r="O128" s="505">
        <f t="shared" si="16"/>
        <v>0</v>
      </c>
      <c r="P128" s="505">
        <f t="shared" si="17"/>
        <v>0</v>
      </c>
      <c r="Q128" s="244"/>
      <c r="R128" s="244"/>
      <c r="S128" s="244"/>
      <c r="T128" s="244"/>
      <c r="U128" s="244"/>
    </row>
    <row r="129" spans="2:21" ht="12.5">
      <c r="B129" s="145" t="str">
        <f t="shared" si="18"/>
        <v/>
      </c>
      <c r="C129" s="496">
        <f>IF(D94="","-",+C128+1)</f>
        <v>2043</v>
      </c>
      <c r="D129" s="350">
        <f>IF(F128+SUM(E$100:E128)=D$93,F128,D$93-SUM(E$100:E128))</f>
        <v>1170647.209500466</v>
      </c>
      <c r="E129" s="629">
        <f t="shared" si="20"/>
        <v>722949.46428571432</v>
      </c>
      <c r="F129" s="511">
        <f t="shared" si="21"/>
        <v>447697.74521475169</v>
      </c>
      <c r="G129" s="511">
        <f t="shared" si="22"/>
        <v>809172.47735760885</v>
      </c>
      <c r="H129" s="646">
        <f t="shared" si="24"/>
        <v>809056.33887180383</v>
      </c>
      <c r="I129" s="630">
        <f t="shared" si="23"/>
        <v>809056.33887180383</v>
      </c>
      <c r="J129" s="505">
        <f t="shared" si="19"/>
        <v>0</v>
      </c>
      <c r="K129" s="505"/>
      <c r="L129" s="513"/>
      <c r="M129" s="505">
        <f t="shared" si="15"/>
        <v>0</v>
      </c>
      <c r="N129" s="513"/>
      <c r="O129" s="505">
        <f t="shared" si="16"/>
        <v>0</v>
      </c>
      <c r="P129" s="505">
        <f t="shared" si="17"/>
        <v>0</v>
      </c>
      <c r="Q129" s="244"/>
      <c r="R129" s="244"/>
      <c r="S129" s="244"/>
      <c r="T129" s="244"/>
      <c r="U129" s="244"/>
    </row>
    <row r="130" spans="2:21" ht="12.5">
      <c r="B130" s="145" t="str">
        <f t="shared" si="18"/>
        <v/>
      </c>
      <c r="C130" s="496">
        <f>IF(D94="","-",+C129+1)</f>
        <v>2044</v>
      </c>
      <c r="D130" s="350">
        <f>IF(F129+SUM(E$100:E129)=D$93,F129,D$93-SUM(E$100:E129))</f>
        <v>447697.74521475169</v>
      </c>
      <c r="E130" s="629">
        <f t="shared" si="20"/>
        <v>447697.74521475169</v>
      </c>
      <c r="F130" s="511">
        <f t="shared" si="21"/>
        <v>0</v>
      </c>
      <c r="G130" s="511">
        <f t="shared" si="22"/>
        <v>223848.87260737584</v>
      </c>
      <c r="H130" s="646">
        <f t="shared" si="24"/>
        <v>471518.28698945959</v>
      </c>
      <c r="I130" s="630">
        <f t="shared" si="23"/>
        <v>471518.28698945959</v>
      </c>
      <c r="J130" s="505">
        <f t="shared" si="19"/>
        <v>0</v>
      </c>
      <c r="K130" s="505"/>
      <c r="L130" s="513"/>
      <c r="M130" s="505">
        <f t="shared" si="15"/>
        <v>0</v>
      </c>
      <c r="N130" s="513"/>
      <c r="O130" s="505">
        <f t="shared" si="16"/>
        <v>0</v>
      </c>
      <c r="P130" s="505">
        <f t="shared" si="17"/>
        <v>0</v>
      </c>
      <c r="Q130" s="244"/>
      <c r="R130" s="244"/>
      <c r="S130" s="244"/>
      <c r="T130" s="244"/>
      <c r="U130" s="244"/>
    </row>
    <row r="131" spans="2:21" ht="12.5">
      <c r="B131" s="145" t="str">
        <f t="shared" si="18"/>
        <v/>
      </c>
      <c r="C131" s="496">
        <f>IF(D94="","-",+C130+1)</f>
        <v>2045</v>
      </c>
      <c r="D131" s="350">
        <f>IF(F130+SUM(E$100:E130)=D$93,F130,D$93-SUM(E$100:E130))</f>
        <v>0</v>
      </c>
      <c r="E131" s="629">
        <f t="shared" si="20"/>
        <v>0</v>
      </c>
      <c r="F131" s="511">
        <f t="shared" si="21"/>
        <v>0</v>
      </c>
      <c r="G131" s="511">
        <f t="shared" si="22"/>
        <v>0</v>
      </c>
      <c r="H131" s="646">
        <f t="shared" si="24"/>
        <v>0</v>
      </c>
      <c r="I131" s="630">
        <f t="shared" si="23"/>
        <v>0</v>
      </c>
      <c r="J131" s="505">
        <f t="shared" si="19"/>
        <v>0</v>
      </c>
      <c r="K131" s="505"/>
      <c r="L131" s="513"/>
      <c r="M131" s="505">
        <f t="shared" si="15"/>
        <v>0</v>
      </c>
      <c r="N131" s="513"/>
      <c r="O131" s="505">
        <f t="shared" si="16"/>
        <v>0</v>
      </c>
      <c r="P131" s="505">
        <f t="shared" si="17"/>
        <v>0</v>
      </c>
      <c r="Q131" s="244"/>
      <c r="R131" s="244"/>
      <c r="S131" s="244"/>
      <c r="T131" s="244"/>
      <c r="U131" s="244"/>
    </row>
    <row r="132" spans="2:21" ht="12.5">
      <c r="B132" s="145" t="str">
        <f t="shared" si="18"/>
        <v/>
      </c>
      <c r="C132" s="496">
        <f>IF(D94="","-",+C131+1)</f>
        <v>2046</v>
      </c>
      <c r="D132" s="350">
        <f>IF(F131+SUM(E$100:E131)=D$93,F131,D$93-SUM(E$100:E131))</f>
        <v>0</v>
      </c>
      <c r="E132" s="629">
        <f t="shared" si="20"/>
        <v>0</v>
      </c>
      <c r="F132" s="511">
        <f t="shared" si="21"/>
        <v>0</v>
      </c>
      <c r="G132" s="511">
        <f t="shared" si="22"/>
        <v>0</v>
      </c>
      <c r="H132" s="646">
        <f t="shared" si="24"/>
        <v>0</v>
      </c>
      <c r="I132" s="630">
        <f t="shared" si="23"/>
        <v>0</v>
      </c>
      <c r="J132" s="505">
        <f t="shared" si="19"/>
        <v>0</v>
      </c>
      <c r="K132" s="505"/>
      <c r="L132" s="513"/>
      <c r="M132" s="505">
        <f t="shared" ref="M132:M155" si="25">IF(L542&lt;&gt;0,+H542-L542,0)</f>
        <v>0</v>
      </c>
      <c r="N132" s="513"/>
      <c r="O132" s="505">
        <f t="shared" ref="O132:O155" si="26">IF(N542&lt;&gt;0,+I542-N542,0)</f>
        <v>0</v>
      </c>
      <c r="P132" s="505">
        <f t="shared" ref="P132:P155" si="27">+O542-M542</f>
        <v>0</v>
      </c>
      <c r="Q132" s="244"/>
      <c r="R132" s="244"/>
      <c r="S132" s="244"/>
      <c r="T132" s="244"/>
      <c r="U132" s="244"/>
    </row>
    <row r="133" spans="2:21" ht="12.5">
      <c r="B133" s="145" t="str">
        <f t="shared" si="18"/>
        <v/>
      </c>
      <c r="C133" s="496">
        <f>IF(D94="","-",+C132+1)</f>
        <v>2047</v>
      </c>
      <c r="D133" s="350">
        <f>IF(F132+SUM(E$100:E132)=D$93,F132,D$93-SUM(E$100:E132))</f>
        <v>0</v>
      </c>
      <c r="E133" s="629">
        <f t="shared" si="20"/>
        <v>0</v>
      </c>
      <c r="F133" s="511">
        <f t="shared" si="21"/>
        <v>0</v>
      </c>
      <c r="G133" s="511">
        <f t="shared" si="22"/>
        <v>0</v>
      </c>
      <c r="H133" s="646">
        <f t="shared" si="24"/>
        <v>0</v>
      </c>
      <c r="I133" s="630">
        <f t="shared" si="23"/>
        <v>0</v>
      </c>
      <c r="J133" s="505">
        <f t="shared" si="19"/>
        <v>0</v>
      </c>
      <c r="K133" s="505"/>
      <c r="L133" s="513"/>
      <c r="M133" s="505">
        <f t="shared" si="25"/>
        <v>0</v>
      </c>
      <c r="N133" s="513"/>
      <c r="O133" s="505">
        <f t="shared" si="26"/>
        <v>0</v>
      </c>
      <c r="P133" s="505">
        <f t="shared" si="27"/>
        <v>0</v>
      </c>
      <c r="Q133" s="244"/>
      <c r="R133" s="244"/>
      <c r="S133" s="244"/>
      <c r="T133" s="244"/>
      <c r="U133" s="244"/>
    </row>
    <row r="134" spans="2:21" ht="12.5">
      <c r="B134" s="145" t="str">
        <f t="shared" si="18"/>
        <v/>
      </c>
      <c r="C134" s="496">
        <f>IF(D94="","-",+C133+1)</f>
        <v>2048</v>
      </c>
      <c r="D134" s="350">
        <f>IF(F133+SUM(E$100:E133)=D$93,F133,D$93-SUM(E$100:E133))</f>
        <v>0</v>
      </c>
      <c r="E134" s="629">
        <f t="shared" si="20"/>
        <v>0</v>
      </c>
      <c r="F134" s="511">
        <f t="shared" si="21"/>
        <v>0</v>
      </c>
      <c r="G134" s="511">
        <f t="shared" si="22"/>
        <v>0</v>
      </c>
      <c r="H134" s="646">
        <f t="shared" si="24"/>
        <v>0</v>
      </c>
      <c r="I134" s="630">
        <f t="shared" si="23"/>
        <v>0</v>
      </c>
      <c r="J134" s="505">
        <f t="shared" si="19"/>
        <v>0</v>
      </c>
      <c r="K134" s="505"/>
      <c r="L134" s="513"/>
      <c r="M134" s="505">
        <f t="shared" si="25"/>
        <v>0</v>
      </c>
      <c r="N134" s="513"/>
      <c r="O134" s="505">
        <f t="shared" si="26"/>
        <v>0</v>
      </c>
      <c r="P134" s="505">
        <f t="shared" si="27"/>
        <v>0</v>
      </c>
      <c r="Q134" s="244"/>
      <c r="R134" s="244"/>
      <c r="S134" s="244"/>
      <c r="T134" s="244"/>
      <c r="U134" s="244"/>
    </row>
    <row r="135" spans="2:21" ht="12.5">
      <c r="B135" s="145" t="str">
        <f t="shared" si="18"/>
        <v/>
      </c>
      <c r="C135" s="496">
        <f>IF(D94="","-",+C134+1)</f>
        <v>2049</v>
      </c>
      <c r="D135" s="350">
        <f>IF(F134+SUM(E$100:E134)=D$93,F134,D$93-SUM(E$100:E134))</f>
        <v>0</v>
      </c>
      <c r="E135" s="629">
        <f t="shared" si="20"/>
        <v>0</v>
      </c>
      <c r="F135" s="511">
        <f t="shared" si="21"/>
        <v>0</v>
      </c>
      <c r="G135" s="511">
        <f t="shared" si="22"/>
        <v>0</v>
      </c>
      <c r="H135" s="646">
        <f t="shared" si="24"/>
        <v>0</v>
      </c>
      <c r="I135" s="630">
        <f t="shared" si="23"/>
        <v>0</v>
      </c>
      <c r="J135" s="505">
        <f t="shared" si="19"/>
        <v>0</v>
      </c>
      <c r="K135" s="505"/>
      <c r="L135" s="513"/>
      <c r="M135" s="505">
        <f t="shared" si="25"/>
        <v>0</v>
      </c>
      <c r="N135" s="513"/>
      <c r="O135" s="505">
        <f t="shared" si="26"/>
        <v>0</v>
      </c>
      <c r="P135" s="505">
        <f t="shared" si="27"/>
        <v>0</v>
      </c>
      <c r="Q135" s="244"/>
      <c r="R135" s="244"/>
      <c r="S135" s="244"/>
      <c r="T135" s="244"/>
      <c r="U135" s="244"/>
    </row>
    <row r="136" spans="2:21" ht="12.5">
      <c r="B136" s="145" t="str">
        <f t="shared" si="18"/>
        <v/>
      </c>
      <c r="C136" s="496">
        <f>IF(D94="","-",+C135+1)</f>
        <v>2050</v>
      </c>
      <c r="D136" s="350">
        <f>IF(F135+SUM(E$100:E135)=D$93,F135,D$93-SUM(E$100:E135))</f>
        <v>0</v>
      </c>
      <c r="E136" s="629">
        <f t="shared" si="20"/>
        <v>0</v>
      </c>
      <c r="F136" s="511">
        <f t="shared" si="21"/>
        <v>0</v>
      </c>
      <c r="G136" s="511">
        <f t="shared" si="22"/>
        <v>0</v>
      </c>
      <c r="H136" s="646">
        <f t="shared" si="24"/>
        <v>0</v>
      </c>
      <c r="I136" s="630">
        <f t="shared" si="23"/>
        <v>0</v>
      </c>
      <c r="J136" s="505">
        <f t="shared" si="19"/>
        <v>0</v>
      </c>
      <c r="K136" s="505"/>
      <c r="L136" s="513"/>
      <c r="M136" s="505">
        <f t="shared" si="25"/>
        <v>0</v>
      </c>
      <c r="N136" s="513"/>
      <c r="O136" s="505">
        <f t="shared" si="26"/>
        <v>0</v>
      </c>
      <c r="P136" s="505">
        <f t="shared" si="27"/>
        <v>0</v>
      </c>
      <c r="Q136" s="244"/>
      <c r="R136" s="244"/>
      <c r="S136" s="244"/>
      <c r="T136" s="244"/>
      <c r="U136" s="244"/>
    </row>
    <row r="137" spans="2:21" ht="12.5">
      <c r="B137" s="145" t="str">
        <f t="shared" si="18"/>
        <v/>
      </c>
      <c r="C137" s="496">
        <f>IF(D94="","-",+C136+1)</f>
        <v>2051</v>
      </c>
      <c r="D137" s="350">
        <f>IF(F136+SUM(E$100:E136)=D$93,F136,D$93-SUM(E$100:E136))</f>
        <v>0</v>
      </c>
      <c r="E137" s="629">
        <f t="shared" si="20"/>
        <v>0</v>
      </c>
      <c r="F137" s="511">
        <f t="shared" si="21"/>
        <v>0</v>
      </c>
      <c r="G137" s="511">
        <f t="shared" si="22"/>
        <v>0</v>
      </c>
      <c r="H137" s="646">
        <f t="shared" si="24"/>
        <v>0</v>
      </c>
      <c r="I137" s="630">
        <f t="shared" si="23"/>
        <v>0</v>
      </c>
      <c r="J137" s="505">
        <f t="shared" si="19"/>
        <v>0</v>
      </c>
      <c r="K137" s="505"/>
      <c r="L137" s="513"/>
      <c r="M137" s="505">
        <f t="shared" si="25"/>
        <v>0</v>
      </c>
      <c r="N137" s="513"/>
      <c r="O137" s="505">
        <f t="shared" si="26"/>
        <v>0</v>
      </c>
      <c r="P137" s="505">
        <f t="shared" si="27"/>
        <v>0</v>
      </c>
      <c r="Q137" s="244"/>
      <c r="R137" s="244"/>
      <c r="S137" s="244"/>
      <c r="T137" s="244"/>
      <c r="U137" s="244"/>
    </row>
    <row r="138" spans="2:21" ht="12.5">
      <c r="B138" s="145" t="str">
        <f t="shared" si="18"/>
        <v/>
      </c>
      <c r="C138" s="496">
        <f>IF(D94="","-",+C137+1)</f>
        <v>2052</v>
      </c>
      <c r="D138" s="350">
        <f>IF(F137+SUM(E$100:E137)=D$93,F137,D$93-SUM(E$100:E137))</f>
        <v>0</v>
      </c>
      <c r="E138" s="629">
        <f t="shared" si="20"/>
        <v>0</v>
      </c>
      <c r="F138" s="511">
        <f t="shared" si="21"/>
        <v>0</v>
      </c>
      <c r="G138" s="511">
        <f t="shared" si="22"/>
        <v>0</v>
      </c>
      <c r="H138" s="646">
        <f t="shared" si="24"/>
        <v>0</v>
      </c>
      <c r="I138" s="630">
        <f t="shared" si="23"/>
        <v>0</v>
      </c>
      <c r="J138" s="505">
        <f t="shared" si="19"/>
        <v>0</v>
      </c>
      <c r="K138" s="505"/>
      <c r="L138" s="513"/>
      <c r="M138" s="505">
        <f t="shared" si="25"/>
        <v>0</v>
      </c>
      <c r="N138" s="513"/>
      <c r="O138" s="505">
        <f t="shared" si="26"/>
        <v>0</v>
      </c>
      <c r="P138" s="505">
        <f t="shared" si="27"/>
        <v>0</v>
      </c>
      <c r="Q138" s="244"/>
      <c r="R138" s="244"/>
      <c r="S138" s="244"/>
      <c r="T138" s="244"/>
      <c r="U138" s="244"/>
    </row>
    <row r="139" spans="2:21" ht="12.5">
      <c r="B139" s="145" t="str">
        <f t="shared" si="18"/>
        <v/>
      </c>
      <c r="C139" s="496">
        <f>IF(D94="","-",+C138+1)</f>
        <v>2053</v>
      </c>
      <c r="D139" s="350">
        <f>IF(F138+SUM(E$100:E138)=D$93,F138,D$93-SUM(E$100:E138))</f>
        <v>0</v>
      </c>
      <c r="E139" s="629">
        <f t="shared" si="20"/>
        <v>0</v>
      </c>
      <c r="F139" s="511">
        <f t="shared" si="21"/>
        <v>0</v>
      </c>
      <c r="G139" s="511">
        <f t="shared" si="22"/>
        <v>0</v>
      </c>
      <c r="H139" s="646">
        <f t="shared" si="24"/>
        <v>0</v>
      </c>
      <c r="I139" s="630">
        <f t="shared" si="23"/>
        <v>0</v>
      </c>
      <c r="J139" s="505">
        <f t="shared" si="19"/>
        <v>0</v>
      </c>
      <c r="K139" s="505"/>
      <c r="L139" s="513"/>
      <c r="M139" s="505">
        <f t="shared" si="25"/>
        <v>0</v>
      </c>
      <c r="N139" s="513"/>
      <c r="O139" s="505">
        <f t="shared" si="26"/>
        <v>0</v>
      </c>
      <c r="P139" s="505">
        <f t="shared" si="27"/>
        <v>0</v>
      </c>
      <c r="Q139" s="244"/>
      <c r="R139" s="244"/>
      <c r="S139" s="244"/>
      <c r="T139" s="244"/>
      <c r="U139" s="244"/>
    </row>
    <row r="140" spans="2:21" ht="12.5">
      <c r="B140" s="145" t="str">
        <f t="shared" si="18"/>
        <v/>
      </c>
      <c r="C140" s="496">
        <f>IF(D94="","-",+C139+1)</f>
        <v>2054</v>
      </c>
      <c r="D140" s="350">
        <f>IF(F139+SUM(E$100:E139)=D$93,F139,D$93-SUM(E$100:E139))</f>
        <v>0</v>
      </c>
      <c r="E140" s="629">
        <f t="shared" si="20"/>
        <v>0</v>
      </c>
      <c r="F140" s="511">
        <f t="shared" si="21"/>
        <v>0</v>
      </c>
      <c r="G140" s="511">
        <f t="shared" si="22"/>
        <v>0</v>
      </c>
      <c r="H140" s="646">
        <f t="shared" si="24"/>
        <v>0</v>
      </c>
      <c r="I140" s="630">
        <f t="shared" si="23"/>
        <v>0</v>
      </c>
      <c r="J140" s="505">
        <f t="shared" si="19"/>
        <v>0</v>
      </c>
      <c r="K140" s="505"/>
      <c r="L140" s="513"/>
      <c r="M140" s="505">
        <f t="shared" si="25"/>
        <v>0</v>
      </c>
      <c r="N140" s="513"/>
      <c r="O140" s="505">
        <f t="shared" si="26"/>
        <v>0</v>
      </c>
      <c r="P140" s="505">
        <f t="shared" si="27"/>
        <v>0</v>
      </c>
      <c r="Q140" s="244"/>
      <c r="R140" s="244"/>
      <c r="S140" s="244"/>
      <c r="T140" s="244"/>
      <c r="U140" s="244"/>
    </row>
    <row r="141" spans="2:21" ht="12.5">
      <c r="B141" s="145" t="str">
        <f t="shared" si="18"/>
        <v/>
      </c>
      <c r="C141" s="496">
        <f>IF(D94="","-",+C140+1)</f>
        <v>2055</v>
      </c>
      <c r="D141" s="350">
        <f>IF(F140+SUM(E$100:E140)=D$93,F140,D$93-SUM(E$100:E140))</f>
        <v>0</v>
      </c>
      <c r="E141" s="629">
        <f t="shared" si="20"/>
        <v>0</v>
      </c>
      <c r="F141" s="511">
        <f t="shared" si="21"/>
        <v>0</v>
      </c>
      <c r="G141" s="511">
        <f t="shared" si="22"/>
        <v>0</v>
      </c>
      <c r="H141" s="646">
        <f t="shared" si="24"/>
        <v>0</v>
      </c>
      <c r="I141" s="630">
        <f t="shared" si="23"/>
        <v>0</v>
      </c>
      <c r="J141" s="505">
        <f t="shared" si="19"/>
        <v>0</v>
      </c>
      <c r="K141" s="505"/>
      <c r="L141" s="513"/>
      <c r="M141" s="505">
        <f t="shared" si="25"/>
        <v>0</v>
      </c>
      <c r="N141" s="513"/>
      <c r="O141" s="505">
        <f t="shared" si="26"/>
        <v>0</v>
      </c>
      <c r="P141" s="505">
        <f t="shared" si="27"/>
        <v>0</v>
      </c>
      <c r="Q141" s="244"/>
      <c r="R141" s="244"/>
      <c r="S141" s="244"/>
      <c r="T141" s="244"/>
      <c r="U141" s="244"/>
    </row>
    <row r="142" spans="2:21" ht="12.5">
      <c r="B142" s="145" t="str">
        <f t="shared" si="18"/>
        <v/>
      </c>
      <c r="C142" s="496">
        <f>IF(D94="","-",+C141+1)</f>
        <v>2056</v>
      </c>
      <c r="D142" s="350">
        <f>IF(F141+SUM(E$100:E141)=D$93,F141,D$93-SUM(E$100:E141))</f>
        <v>0</v>
      </c>
      <c r="E142" s="629">
        <f t="shared" si="20"/>
        <v>0</v>
      </c>
      <c r="F142" s="511">
        <f t="shared" si="21"/>
        <v>0</v>
      </c>
      <c r="G142" s="511">
        <f t="shared" si="22"/>
        <v>0</v>
      </c>
      <c r="H142" s="646">
        <f t="shared" si="24"/>
        <v>0</v>
      </c>
      <c r="I142" s="630">
        <f t="shared" si="23"/>
        <v>0</v>
      </c>
      <c r="J142" s="505">
        <f t="shared" si="19"/>
        <v>0</v>
      </c>
      <c r="K142" s="505"/>
      <c r="L142" s="513"/>
      <c r="M142" s="505">
        <f t="shared" si="25"/>
        <v>0</v>
      </c>
      <c r="N142" s="513"/>
      <c r="O142" s="505">
        <f t="shared" si="26"/>
        <v>0</v>
      </c>
      <c r="P142" s="505">
        <f t="shared" si="27"/>
        <v>0</v>
      </c>
      <c r="Q142" s="244"/>
      <c r="R142" s="244"/>
      <c r="S142" s="244"/>
      <c r="T142" s="244"/>
      <c r="U142" s="244"/>
    </row>
    <row r="143" spans="2:21" ht="12.5">
      <c r="B143" s="145" t="str">
        <f t="shared" si="18"/>
        <v/>
      </c>
      <c r="C143" s="496">
        <f>IF(D94="","-",+C142+1)</f>
        <v>2057</v>
      </c>
      <c r="D143" s="350">
        <f>IF(F142+SUM(E$100:E142)=D$93,F142,D$93-SUM(E$100:E142))</f>
        <v>0</v>
      </c>
      <c r="E143" s="629">
        <f t="shared" si="20"/>
        <v>0</v>
      </c>
      <c r="F143" s="511">
        <f t="shared" si="21"/>
        <v>0</v>
      </c>
      <c r="G143" s="511">
        <f t="shared" si="22"/>
        <v>0</v>
      </c>
      <c r="H143" s="646">
        <f t="shared" si="24"/>
        <v>0</v>
      </c>
      <c r="I143" s="630">
        <f t="shared" si="23"/>
        <v>0</v>
      </c>
      <c r="J143" s="505">
        <f t="shared" si="19"/>
        <v>0</v>
      </c>
      <c r="K143" s="505"/>
      <c r="L143" s="513"/>
      <c r="M143" s="505">
        <f t="shared" si="25"/>
        <v>0</v>
      </c>
      <c r="N143" s="513"/>
      <c r="O143" s="505">
        <f t="shared" si="26"/>
        <v>0</v>
      </c>
      <c r="P143" s="505">
        <f t="shared" si="27"/>
        <v>0</v>
      </c>
      <c r="Q143" s="244"/>
      <c r="R143" s="244"/>
      <c r="S143" s="244"/>
      <c r="T143" s="244"/>
      <c r="U143" s="244"/>
    </row>
    <row r="144" spans="2:21" ht="12.5">
      <c r="B144" s="145" t="str">
        <f t="shared" si="18"/>
        <v/>
      </c>
      <c r="C144" s="496">
        <f>IF(D94="","-",+C143+1)</f>
        <v>2058</v>
      </c>
      <c r="D144" s="350">
        <f>IF(F143+SUM(E$100:E143)=D$93,F143,D$93-SUM(E$100:E143))</f>
        <v>0</v>
      </c>
      <c r="E144" s="629">
        <f t="shared" si="20"/>
        <v>0</v>
      </c>
      <c r="F144" s="511">
        <f t="shared" si="21"/>
        <v>0</v>
      </c>
      <c r="G144" s="511">
        <f t="shared" si="22"/>
        <v>0</v>
      </c>
      <c r="H144" s="646">
        <f t="shared" si="24"/>
        <v>0</v>
      </c>
      <c r="I144" s="630">
        <f t="shared" si="23"/>
        <v>0</v>
      </c>
      <c r="J144" s="505">
        <f t="shared" si="19"/>
        <v>0</v>
      </c>
      <c r="K144" s="505"/>
      <c r="L144" s="513"/>
      <c r="M144" s="505">
        <f t="shared" si="25"/>
        <v>0</v>
      </c>
      <c r="N144" s="513"/>
      <c r="O144" s="505">
        <f t="shared" si="26"/>
        <v>0</v>
      </c>
      <c r="P144" s="505">
        <f t="shared" si="27"/>
        <v>0</v>
      </c>
      <c r="Q144" s="244"/>
      <c r="R144" s="244"/>
      <c r="S144" s="244"/>
      <c r="T144" s="244"/>
      <c r="U144" s="244"/>
    </row>
    <row r="145" spans="2:21" ht="12.5">
      <c r="B145" s="145" t="str">
        <f t="shared" si="18"/>
        <v/>
      </c>
      <c r="C145" s="496">
        <f>IF(D94="","-",+C144+1)</f>
        <v>2059</v>
      </c>
      <c r="D145" s="350">
        <f>IF(F144+SUM(E$100:E144)=D$93,F144,D$93-SUM(E$100:E144))</f>
        <v>0</v>
      </c>
      <c r="E145" s="629">
        <f t="shared" si="20"/>
        <v>0</v>
      </c>
      <c r="F145" s="511">
        <f t="shared" si="21"/>
        <v>0</v>
      </c>
      <c r="G145" s="511">
        <f t="shared" si="22"/>
        <v>0</v>
      </c>
      <c r="H145" s="646">
        <f t="shared" si="24"/>
        <v>0</v>
      </c>
      <c r="I145" s="630">
        <f t="shared" si="23"/>
        <v>0</v>
      </c>
      <c r="J145" s="505">
        <f t="shared" si="19"/>
        <v>0</v>
      </c>
      <c r="K145" s="505"/>
      <c r="L145" s="513"/>
      <c r="M145" s="505">
        <f t="shared" si="25"/>
        <v>0</v>
      </c>
      <c r="N145" s="513"/>
      <c r="O145" s="505">
        <f t="shared" si="26"/>
        <v>0</v>
      </c>
      <c r="P145" s="505">
        <f t="shared" si="27"/>
        <v>0</v>
      </c>
      <c r="Q145" s="244"/>
      <c r="R145" s="244"/>
      <c r="S145" s="244"/>
      <c r="T145" s="244"/>
      <c r="U145" s="244"/>
    </row>
    <row r="146" spans="2:21" ht="12.5">
      <c r="B146" s="145" t="str">
        <f t="shared" si="18"/>
        <v/>
      </c>
      <c r="C146" s="496">
        <f>IF(D94="","-",+C145+1)</f>
        <v>2060</v>
      </c>
      <c r="D146" s="350">
        <f>IF(F145+SUM(E$100:E145)=D$93,F145,D$93-SUM(E$100:E145))</f>
        <v>0</v>
      </c>
      <c r="E146" s="629">
        <f t="shared" si="20"/>
        <v>0</v>
      </c>
      <c r="F146" s="511">
        <f t="shared" si="21"/>
        <v>0</v>
      </c>
      <c r="G146" s="511">
        <f t="shared" si="22"/>
        <v>0</v>
      </c>
      <c r="H146" s="646">
        <f t="shared" si="24"/>
        <v>0</v>
      </c>
      <c r="I146" s="630">
        <f t="shared" si="23"/>
        <v>0</v>
      </c>
      <c r="J146" s="505">
        <f t="shared" si="19"/>
        <v>0</v>
      </c>
      <c r="K146" s="505"/>
      <c r="L146" s="513"/>
      <c r="M146" s="505">
        <f t="shared" si="25"/>
        <v>0</v>
      </c>
      <c r="N146" s="513"/>
      <c r="O146" s="505">
        <f t="shared" si="26"/>
        <v>0</v>
      </c>
      <c r="P146" s="505">
        <f t="shared" si="27"/>
        <v>0</v>
      </c>
      <c r="Q146" s="244"/>
      <c r="R146" s="244"/>
      <c r="S146" s="244"/>
      <c r="T146" s="244"/>
      <c r="U146" s="244"/>
    </row>
    <row r="147" spans="2:21" ht="12.5">
      <c r="B147" s="145" t="str">
        <f t="shared" si="18"/>
        <v/>
      </c>
      <c r="C147" s="496">
        <f>IF(D94="","-",+C146+1)</f>
        <v>2061</v>
      </c>
      <c r="D147" s="350">
        <f>IF(F146+SUM(E$100:E146)=D$93,F146,D$93-SUM(E$100:E146))</f>
        <v>0</v>
      </c>
      <c r="E147" s="629">
        <f t="shared" si="20"/>
        <v>0</v>
      </c>
      <c r="F147" s="511">
        <f t="shared" si="21"/>
        <v>0</v>
      </c>
      <c r="G147" s="511">
        <f t="shared" si="22"/>
        <v>0</v>
      </c>
      <c r="H147" s="646">
        <f t="shared" si="24"/>
        <v>0</v>
      </c>
      <c r="I147" s="630">
        <f t="shared" si="23"/>
        <v>0</v>
      </c>
      <c r="J147" s="505">
        <f t="shared" si="19"/>
        <v>0</v>
      </c>
      <c r="K147" s="505"/>
      <c r="L147" s="513"/>
      <c r="M147" s="505">
        <f t="shared" si="25"/>
        <v>0</v>
      </c>
      <c r="N147" s="513"/>
      <c r="O147" s="505">
        <f t="shared" si="26"/>
        <v>0</v>
      </c>
      <c r="P147" s="505">
        <f t="shared" si="27"/>
        <v>0</v>
      </c>
      <c r="Q147" s="244"/>
      <c r="R147" s="244"/>
      <c r="S147" s="244"/>
      <c r="T147" s="244"/>
      <c r="U147" s="244"/>
    </row>
    <row r="148" spans="2:21" ht="12.5">
      <c r="B148" s="145" t="str">
        <f t="shared" si="18"/>
        <v/>
      </c>
      <c r="C148" s="496">
        <f>IF(D94="","-",+C147+1)</f>
        <v>2062</v>
      </c>
      <c r="D148" s="350">
        <f>IF(F147+SUM(E$100:E147)=D$93,F147,D$93-SUM(E$100:E147))</f>
        <v>0</v>
      </c>
      <c r="E148" s="629">
        <f t="shared" si="20"/>
        <v>0</v>
      </c>
      <c r="F148" s="511">
        <f t="shared" si="21"/>
        <v>0</v>
      </c>
      <c r="G148" s="511">
        <f t="shared" si="22"/>
        <v>0</v>
      </c>
      <c r="H148" s="646">
        <f t="shared" si="24"/>
        <v>0</v>
      </c>
      <c r="I148" s="630">
        <f t="shared" si="23"/>
        <v>0</v>
      </c>
      <c r="J148" s="505">
        <f t="shared" si="19"/>
        <v>0</v>
      </c>
      <c r="K148" s="505"/>
      <c r="L148" s="513"/>
      <c r="M148" s="505">
        <f t="shared" si="25"/>
        <v>0</v>
      </c>
      <c r="N148" s="513"/>
      <c r="O148" s="505">
        <f t="shared" si="26"/>
        <v>0</v>
      </c>
      <c r="P148" s="505">
        <f t="shared" si="27"/>
        <v>0</v>
      </c>
      <c r="Q148" s="244"/>
      <c r="R148" s="244"/>
      <c r="S148" s="244"/>
      <c r="T148" s="244"/>
      <c r="U148" s="244"/>
    </row>
    <row r="149" spans="2:21" ht="12.5">
      <c r="B149" s="145" t="str">
        <f t="shared" si="18"/>
        <v/>
      </c>
      <c r="C149" s="496">
        <f>IF(D94="","-",+C148+1)</f>
        <v>2063</v>
      </c>
      <c r="D149" s="350">
        <f>IF(F148+SUM(E$100:E148)=D$93,F148,D$93-SUM(E$100:E148))</f>
        <v>0</v>
      </c>
      <c r="E149" s="629">
        <f t="shared" si="20"/>
        <v>0</v>
      </c>
      <c r="F149" s="511">
        <f t="shared" si="21"/>
        <v>0</v>
      </c>
      <c r="G149" s="511">
        <f t="shared" si="22"/>
        <v>0</v>
      </c>
      <c r="H149" s="646">
        <f t="shared" si="24"/>
        <v>0</v>
      </c>
      <c r="I149" s="630">
        <f t="shared" si="23"/>
        <v>0</v>
      </c>
      <c r="J149" s="505">
        <f t="shared" si="19"/>
        <v>0</v>
      </c>
      <c r="K149" s="505"/>
      <c r="L149" s="513"/>
      <c r="M149" s="505">
        <f t="shared" si="25"/>
        <v>0</v>
      </c>
      <c r="N149" s="513"/>
      <c r="O149" s="505">
        <f t="shared" si="26"/>
        <v>0</v>
      </c>
      <c r="P149" s="505">
        <f t="shared" si="27"/>
        <v>0</v>
      </c>
      <c r="Q149" s="244"/>
      <c r="R149" s="244"/>
      <c r="S149" s="244"/>
      <c r="T149" s="244"/>
      <c r="U149" s="244"/>
    </row>
    <row r="150" spans="2:21" ht="12.5">
      <c r="B150" s="145" t="str">
        <f t="shared" si="18"/>
        <v/>
      </c>
      <c r="C150" s="496">
        <f>IF(D94="","-",+C149+1)</f>
        <v>2064</v>
      </c>
      <c r="D150" s="350">
        <f>IF(F149+SUM(E$100:E149)=D$93,F149,D$93-SUM(E$100:E149))</f>
        <v>0</v>
      </c>
      <c r="E150" s="629">
        <f t="shared" si="20"/>
        <v>0</v>
      </c>
      <c r="F150" s="511">
        <f t="shared" si="21"/>
        <v>0</v>
      </c>
      <c r="G150" s="511">
        <f t="shared" si="22"/>
        <v>0</v>
      </c>
      <c r="H150" s="646">
        <f t="shared" si="24"/>
        <v>0</v>
      </c>
      <c r="I150" s="630">
        <f t="shared" si="23"/>
        <v>0</v>
      </c>
      <c r="J150" s="505">
        <f t="shared" si="19"/>
        <v>0</v>
      </c>
      <c r="K150" s="505"/>
      <c r="L150" s="513"/>
      <c r="M150" s="505">
        <f t="shared" si="25"/>
        <v>0</v>
      </c>
      <c r="N150" s="513"/>
      <c r="O150" s="505">
        <f t="shared" si="26"/>
        <v>0</v>
      </c>
      <c r="P150" s="505">
        <f t="shared" si="27"/>
        <v>0</v>
      </c>
      <c r="Q150" s="244"/>
      <c r="R150" s="244"/>
      <c r="S150" s="244"/>
      <c r="T150" s="244"/>
      <c r="U150" s="244"/>
    </row>
    <row r="151" spans="2:21" ht="12.5">
      <c r="B151" s="145" t="str">
        <f t="shared" si="18"/>
        <v/>
      </c>
      <c r="C151" s="496">
        <f>IF(D94="","-",+C150+1)</f>
        <v>2065</v>
      </c>
      <c r="D151" s="350">
        <f>IF(F150+SUM(E$100:E150)=D$93,F150,D$93-SUM(E$100:E150))</f>
        <v>0</v>
      </c>
      <c r="E151" s="629">
        <f t="shared" si="20"/>
        <v>0</v>
      </c>
      <c r="F151" s="511">
        <f t="shared" si="21"/>
        <v>0</v>
      </c>
      <c r="G151" s="511">
        <f t="shared" si="22"/>
        <v>0</v>
      </c>
      <c r="H151" s="646">
        <f t="shared" si="24"/>
        <v>0</v>
      </c>
      <c r="I151" s="630">
        <f t="shared" si="23"/>
        <v>0</v>
      </c>
      <c r="J151" s="505">
        <f t="shared" si="19"/>
        <v>0</v>
      </c>
      <c r="K151" s="505"/>
      <c r="L151" s="513"/>
      <c r="M151" s="505">
        <f t="shared" si="25"/>
        <v>0</v>
      </c>
      <c r="N151" s="513"/>
      <c r="O151" s="505">
        <f t="shared" si="26"/>
        <v>0</v>
      </c>
      <c r="P151" s="505">
        <f t="shared" si="27"/>
        <v>0</v>
      </c>
      <c r="Q151" s="244"/>
      <c r="R151" s="244"/>
      <c r="S151" s="244"/>
      <c r="T151" s="244"/>
      <c r="U151" s="244"/>
    </row>
    <row r="152" spans="2:21" ht="12.5">
      <c r="B152" s="145" t="str">
        <f t="shared" si="18"/>
        <v/>
      </c>
      <c r="C152" s="496">
        <f>IF(D94="","-",+C151+1)</f>
        <v>2066</v>
      </c>
      <c r="D152" s="350">
        <f>IF(F151+SUM(E$100:E151)=D$93,F151,D$93-SUM(E$100:E151))</f>
        <v>0</v>
      </c>
      <c r="E152" s="629">
        <f t="shared" si="20"/>
        <v>0</v>
      </c>
      <c r="F152" s="511">
        <f t="shared" si="21"/>
        <v>0</v>
      </c>
      <c r="G152" s="511">
        <f t="shared" si="22"/>
        <v>0</v>
      </c>
      <c r="H152" s="646">
        <f t="shared" si="24"/>
        <v>0</v>
      </c>
      <c r="I152" s="630">
        <f t="shared" si="23"/>
        <v>0</v>
      </c>
      <c r="J152" s="505">
        <f t="shared" si="19"/>
        <v>0</v>
      </c>
      <c r="K152" s="505"/>
      <c r="L152" s="513"/>
      <c r="M152" s="505">
        <f t="shared" si="25"/>
        <v>0</v>
      </c>
      <c r="N152" s="513"/>
      <c r="O152" s="505">
        <f t="shared" si="26"/>
        <v>0</v>
      </c>
      <c r="P152" s="505">
        <f t="shared" si="27"/>
        <v>0</v>
      </c>
      <c r="Q152" s="244"/>
      <c r="R152" s="244"/>
      <c r="S152" s="244"/>
      <c r="T152" s="244"/>
      <c r="U152" s="244"/>
    </row>
    <row r="153" spans="2:21" ht="12.5">
      <c r="B153" s="145" t="str">
        <f t="shared" si="18"/>
        <v/>
      </c>
      <c r="C153" s="496">
        <f>IF(D94="","-",+C152+1)</f>
        <v>2067</v>
      </c>
      <c r="D153" s="350">
        <f>IF(F152+SUM(E$100:E152)=D$93,F152,D$93-SUM(E$100:E152))</f>
        <v>0</v>
      </c>
      <c r="E153" s="629">
        <f t="shared" si="20"/>
        <v>0</v>
      </c>
      <c r="F153" s="511">
        <f t="shared" si="21"/>
        <v>0</v>
      </c>
      <c r="G153" s="511">
        <f t="shared" si="22"/>
        <v>0</v>
      </c>
      <c r="H153" s="646">
        <f t="shared" si="24"/>
        <v>0</v>
      </c>
      <c r="I153" s="630">
        <f t="shared" si="23"/>
        <v>0</v>
      </c>
      <c r="J153" s="505">
        <f t="shared" si="19"/>
        <v>0</v>
      </c>
      <c r="K153" s="505"/>
      <c r="L153" s="513"/>
      <c r="M153" s="505">
        <f t="shared" si="25"/>
        <v>0</v>
      </c>
      <c r="N153" s="513"/>
      <c r="O153" s="505">
        <f t="shared" si="26"/>
        <v>0</v>
      </c>
      <c r="P153" s="505">
        <f t="shared" si="27"/>
        <v>0</v>
      </c>
      <c r="Q153" s="244"/>
      <c r="R153" s="244"/>
      <c r="S153" s="244"/>
      <c r="T153" s="244"/>
      <c r="U153" s="244"/>
    </row>
    <row r="154" spans="2:21" ht="12.5">
      <c r="B154" s="145" t="str">
        <f t="shared" si="18"/>
        <v/>
      </c>
      <c r="C154" s="496">
        <f>IF(D94="","-",+C153+1)</f>
        <v>2068</v>
      </c>
      <c r="D154" s="350">
        <f>IF(F153+SUM(E$100:E153)=D$93,F153,D$93-SUM(E$100:E153))</f>
        <v>0</v>
      </c>
      <c r="E154" s="629">
        <f t="shared" si="20"/>
        <v>0</v>
      </c>
      <c r="F154" s="511">
        <f t="shared" si="21"/>
        <v>0</v>
      </c>
      <c r="G154" s="511">
        <f t="shared" si="22"/>
        <v>0</v>
      </c>
      <c r="H154" s="646">
        <f t="shared" si="24"/>
        <v>0</v>
      </c>
      <c r="I154" s="630">
        <f t="shared" si="23"/>
        <v>0</v>
      </c>
      <c r="J154" s="505">
        <f t="shared" si="19"/>
        <v>0</v>
      </c>
      <c r="K154" s="505"/>
      <c r="L154" s="513"/>
      <c r="M154" s="505">
        <f t="shared" si="25"/>
        <v>0</v>
      </c>
      <c r="N154" s="513"/>
      <c r="O154" s="505">
        <f t="shared" si="26"/>
        <v>0</v>
      </c>
      <c r="P154" s="505">
        <f t="shared" si="27"/>
        <v>0</v>
      </c>
      <c r="Q154" s="244"/>
      <c r="R154" s="244"/>
      <c r="S154" s="244"/>
      <c r="T154" s="244"/>
      <c r="U154" s="244"/>
    </row>
    <row r="155" spans="2:21" ht="13" thickBot="1">
      <c r="B155" s="145" t="str">
        <f t="shared" si="18"/>
        <v/>
      </c>
      <c r="C155" s="525">
        <f>IF(D94="","-",+C154+1)</f>
        <v>2069</v>
      </c>
      <c r="D155" s="619">
        <f>IF(F154+SUM(E$100:E154)=D$93,F154,D$93-SUM(E$100:E154))</f>
        <v>0</v>
      </c>
      <c r="E155" s="631">
        <f t="shared" si="20"/>
        <v>0</v>
      </c>
      <c r="F155" s="528">
        <f t="shared" si="21"/>
        <v>0</v>
      </c>
      <c r="G155" s="528">
        <f t="shared" si="22"/>
        <v>0</v>
      </c>
      <c r="H155" s="646">
        <f t="shared" si="24"/>
        <v>0</v>
      </c>
      <c r="I155" s="632">
        <f t="shared" si="23"/>
        <v>0</v>
      </c>
      <c r="J155" s="532">
        <f t="shared" si="19"/>
        <v>0</v>
      </c>
      <c r="K155" s="505"/>
      <c r="L155" s="531"/>
      <c r="M155" s="532">
        <f t="shared" si="25"/>
        <v>0</v>
      </c>
      <c r="N155" s="531"/>
      <c r="O155" s="532">
        <f t="shared" si="26"/>
        <v>0</v>
      </c>
      <c r="P155" s="532">
        <f t="shared" si="27"/>
        <v>0</v>
      </c>
      <c r="Q155" s="244"/>
      <c r="R155" s="244"/>
      <c r="S155" s="244"/>
      <c r="T155" s="244"/>
      <c r="U155" s="244"/>
    </row>
    <row r="156" spans="2:21" ht="12.5">
      <c r="C156" s="350" t="s">
        <v>75</v>
      </c>
      <c r="D156" s="295"/>
      <c r="E156" s="295">
        <f>SUM(E100:E155)</f>
        <v>20242584.999999996</v>
      </c>
      <c r="F156" s="295"/>
      <c r="G156" s="295"/>
      <c r="H156" s="295">
        <f>SUM(H100:H155)</f>
        <v>53913396.904791802</v>
      </c>
      <c r="I156" s="295">
        <f>SUM(I100:I155)</f>
        <v>53913396.904791802</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0" priority="1" stopIfTrue="1" operator="equal">
      <formula>$I$10</formula>
    </cfRule>
  </conditionalFormatting>
  <conditionalFormatting sqref="C100:C155">
    <cfRule type="cellIs" dxfId="29"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39997558519241921"/>
  </sheetPr>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12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1581979.7861437595</v>
      </c>
      <c r="P5" s="244"/>
      <c r="R5" s="244"/>
      <c r="S5" s="244"/>
      <c r="T5" s="244"/>
      <c r="U5" s="244"/>
    </row>
    <row r="6" spans="1:21" ht="15.5">
      <c r="C6" s="236"/>
      <c r="D6" s="293"/>
      <c r="E6" s="244"/>
      <c r="F6" s="244"/>
      <c r="G6" s="244"/>
      <c r="H6" s="450"/>
      <c r="I6" s="450"/>
      <c r="J6" s="451"/>
      <c r="K6" s="452" t="s">
        <v>243</v>
      </c>
      <c r="L6" s="453"/>
      <c r="M6" s="279"/>
      <c r="N6" s="454">
        <f>VLOOKUP(I10,C17:I73,6)</f>
        <v>1581979.7861437595</v>
      </c>
      <c r="O6" s="244"/>
      <c r="P6" s="244"/>
      <c r="R6" s="244"/>
      <c r="S6" s="244"/>
      <c r="T6" s="244"/>
      <c r="U6" s="244"/>
    </row>
    <row r="7" spans="1:21" ht="13.5" thickBot="1">
      <c r="C7" s="455" t="s">
        <v>46</v>
      </c>
      <c r="D7" s="456" t="s">
        <v>224</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223</v>
      </c>
      <c r="E9" s="466"/>
      <c r="F9" s="466"/>
      <c r="G9" s="466"/>
      <c r="H9" s="466"/>
      <c r="I9" s="467"/>
      <c r="J9" s="468"/>
      <c r="O9" s="469"/>
      <c r="P9" s="279"/>
      <c r="R9" s="244"/>
      <c r="S9" s="244"/>
      <c r="T9" s="244"/>
      <c r="U9" s="244"/>
    </row>
    <row r="10" spans="1:21" ht="13">
      <c r="C10" s="470" t="s">
        <v>49</v>
      </c>
      <c r="D10" s="471">
        <v>13254470.189999999</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4</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389837.35852941172</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613">
        <v>13254470.189999999</v>
      </c>
      <c r="E17" s="621">
        <v>38215.310782576453</v>
      </c>
      <c r="F17" s="613">
        <v>13216254.879217423</v>
      </c>
      <c r="G17" s="621">
        <v>401752.61137886974</v>
      </c>
      <c r="H17" s="618">
        <v>401752.61137886974</v>
      </c>
      <c r="I17" s="633">
        <v>0</v>
      </c>
      <c r="J17" s="501"/>
      <c r="K17" s="502">
        <f t="shared" ref="K17:K22" si="1">G17</f>
        <v>401752.61137886974</v>
      </c>
      <c r="L17" s="503">
        <f t="shared" ref="L17:L22" si="2">IF(K17&lt;&gt;0,+G17-K17,0)</f>
        <v>0</v>
      </c>
      <c r="M17" s="502">
        <f t="shared" ref="M17:M22" si="3">H17</f>
        <v>401752.61137886974</v>
      </c>
      <c r="N17" s="504">
        <f>IF(M17&lt;&gt;0,+H17-M17,0)</f>
        <v>0</v>
      </c>
      <c r="O17" s="505">
        <f>+N17-L17</f>
        <v>0</v>
      </c>
      <c r="P17" s="279"/>
      <c r="R17" s="244"/>
      <c r="S17" s="244"/>
      <c r="T17" s="244"/>
      <c r="U17" s="244"/>
    </row>
    <row r="18" spans="2:21" ht="12.5">
      <c r="B18" s="145" t="str">
        <f t="shared" si="0"/>
        <v/>
      </c>
      <c r="C18" s="496">
        <f>IF(D11="","-",+C17+1)</f>
        <v>2015</v>
      </c>
      <c r="D18" s="615">
        <v>13216254.879217423</v>
      </c>
      <c r="E18" s="614">
        <v>229291.86469545873</v>
      </c>
      <c r="F18" s="615">
        <v>12986963.014521964</v>
      </c>
      <c r="G18" s="614">
        <v>1658212.6960173119</v>
      </c>
      <c r="H18" s="618">
        <v>1658212.6960173119</v>
      </c>
      <c r="I18" s="633">
        <v>0</v>
      </c>
      <c r="J18" s="501"/>
      <c r="K18" s="507">
        <f t="shared" si="1"/>
        <v>1658212.6960173119</v>
      </c>
      <c r="L18" s="508">
        <f t="shared" si="2"/>
        <v>0</v>
      </c>
      <c r="M18" s="507">
        <f t="shared" si="3"/>
        <v>1658212.6960173119</v>
      </c>
      <c r="N18" s="505">
        <f>IF(M18&lt;&gt;0,+H18-M18,0)</f>
        <v>0</v>
      </c>
      <c r="O18" s="505">
        <f>+N18-L18</f>
        <v>0</v>
      </c>
      <c r="P18" s="279"/>
      <c r="R18" s="244"/>
      <c r="S18" s="244"/>
      <c r="T18" s="244"/>
      <c r="U18" s="244"/>
    </row>
    <row r="19" spans="2:21" ht="12.5">
      <c r="B19" s="145" t="str">
        <f t="shared" si="0"/>
        <v/>
      </c>
      <c r="C19" s="496">
        <f>IF(D11="","-",+C18+1)</f>
        <v>2016</v>
      </c>
      <c r="D19" s="615">
        <v>12986963.014521964</v>
      </c>
      <c r="E19" s="614">
        <v>229291.86469545873</v>
      </c>
      <c r="F19" s="615">
        <v>12757671.149826504</v>
      </c>
      <c r="G19" s="614">
        <v>1544166.8315919416</v>
      </c>
      <c r="H19" s="618">
        <v>1544166.8315919416</v>
      </c>
      <c r="I19" s="501">
        <v>0</v>
      </c>
      <c r="J19" s="501"/>
      <c r="K19" s="507">
        <f t="shared" si="1"/>
        <v>1544166.8315919416</v>
      </c>
      <c r="L19" s="508">
        <f t="shared" si="2"/>
        <v>0</v>
      </c>
      <c r="M19" s="507">
        <f t="shared" si="3"/>
        <v>1544166.8315919416</v>
      </c>
      <c r="N19" s="505">
        <f>IF(M19&lt;&gt;0,+H19-M19,0)</f>
        <v>0</v>
      </c>
      <c r="O19" s="505">
        <f>+N19-L19</f>
        <v>0</v>
      </c>
      <c r="P19" s="279"/>
      <c r="R19" s="244"/>
      <c r="S19" s="244"/>
      <c r="T19" s="244"/>
      <c r="U19" s="244"/>
    </row>
    <row r="20" spans="2:21" ht="12.5">
      <c r="B20" s="145" t="str">
        <f t="shared" si="0"/>
        <v/>
      </c>
      <c r="C20" s="496">
        <f>IF(D11="","-",+C19+1)</f>
        <v>2017</v>
      </c>
      <c r="D20" s="615">
        <v>12757671.149826504</v>
      </c>
      <c r="E20" s="614">
        <v>275420.65562452108</v>
      </c>
      <c r="F20" s="615">
        <v>12482250.494201982</v>
      </c>
      <c r="G20" s="614">
        <v>1622010.458293594</v>
      </c>
      <c r="H20" s="618">
        <v>1622010.458293594</v>
      </c>
      <c r="I20" s="501">
        <f>H20-G20</f>
        <v>0</v>
      </c>
      <c r="J20" s="501"/>
      <c r="K20" s="507">
        <f t="shared" si="1"/>
        <v>1622010.458293594</v>
      </c>
      <c r="L20" s="508">
        <f t="shared" si="2"/>
        <v>0</v>
      </c>
      <c r="M20" s="507">
        <f t="shared" si="3"/>
        <v>1622010.458293594</v>
      </c>
      <c r="N20" s="505">
        <f t="shared" ref="N20:N73" si="4">IF(M20&lt;&gt;0,+H20-M20,0)</f>
        <v>0</v>
      </c>
      <c r="O20" s="505">
        <f t="shared" ref="O20:O73" si="5">+N20-L20</f>
        <v>0</v>
      </c>
      <c r="P20" s="279"/>
      <c r="R20" s="244"/>
      <c r="S20" s="244"/>
      <c r="T20" s="244"/>
      <c r="U20" s="244"/>
    </row>
    <row r="21" spans="2:21" ht="12.5">
      <c r="B21" s="145" t="str">
        <f t="shared" si="0"/>
        <v>IU</v>
      </c>
      <c r="C21" s="496">
        <f>IF(D11="","-",+C20+1)</f>
        <v>2018</v>
      </c>
      <c r="D21" s="615">
        <v>12221641.369282497</v>
      </c>
      <c r="E21" s="614">
        <v>325060.34019690572</v>
      </c>
      <c r="F21" s="615">
        <v>11896581.029085591</v>
      </c>
      <c r="G21" s="614">
        <v>1741897.6993738853</v>
      </c>
      <c r="H21" s="618">
        <v>1741897.6993738853</v>
      </c>
      <c r="I21" s="501">
        <f t="shared" ref="I21:I73" si="6">H21-G21</f>
        <v>0</v>
      </c>
      <c r="J21" s="501"/>
      <c r="K21" s="507">
        <f t="shared" si="1"/>
        <v>1741897.6993738853</v>
      </c>
      <c r="L21" s="508">
        <f t="shared" si="2"/>
        <v>0</v>
      </c>
      <c r="M21" s="507">
        <f t="shared" si="3"/>
        <v>1741897.6993738853</v>
      </c>
      <c r="N21" s="505">
        <f>IF(M21&lt;&gt;0,+H21-M21,0)</f>
        <v>0</v>
      </c>
      <c r="O21" s="505">
        <f>+N21-L21</f>
        <v>0</v>
      </c>
      <c r="P21" s="279"/>
      <c r="R21" s="244"/>
      <c r="S21" s="244"/>
      <c r="T21" s="244"/>
      <c r="U21" s="244"/>
    </row>
    <row r="22" spans="2:21" ht="12.5">
      <c r="B22" s="145" t="str">
        <f t="shared" si="0"/>
        <v/>
      </c>
      <c r="C22" s="496">
        <f>IF(D11="","-",+C21+1)</f>
        <v>2019</v>
      </c>
      <c r="D22" s="615">
        <v>11896581.029085591</v>
      </c>
      <c r="E22" s="614">
        <v>325060.34019690572</v>
      </c>
      <c r="F22" s="615">
        <v>11571520.688888686</v>
      </c>
      <c r="G22" s="614">
        <v>1703706.0261758706</v>
      </c>
      <c r="H22" s="618">
        <v>1703706.0261758706</v>
      </c>
      <c r="I22" s="501">
        <v>0</v>
      </c>
      <c r="J22" s="501"/>
      <c r="K22" s="507">
        <f t="shared" si="1"/>
        <v>1703706.0261758706</v>
      </c>
      <c r="L22" s="508">
        <f t="shared" si="2"/>
        <v>0</v>
      </c>
      <c r="M22" s="507">
        <f t="shared" si="3"/>
        <v>1703706.0261758706</v>
      </c>
      <c r="N22" s="505">
        <f>IF(M22&lt;&gt;0,+H22-M22,0)</f>
        <v>0</v>
      </c>
      <c r="O22" s="505">
        <f>+N22-L22</f>
        <v>0</v>
      </c>
      <c r="P22" s="279"/>
      <c r="R22" s="244"/>
      <c r="S22" s="244"/>
      <c r="T22" s="244"/>
      <c r="U22" s="244"/>
    </row>
    <row r="23" spans="2:21" ht="12.5">
      <c r="B23" s="145" t="str">
        <f t="shared" si="0"/>
        <v/>
      </c>
      <c r="C23" s="496">
        <f>IF(D11="","-",+C22+1)</f>
        <v>2020</v>
      </c>
      <c r="D23" s="615">
        <v>11571520.688888686</v>
      </c>
      <c r="E23" s="614">
        <v>388114.48634834524</v>
      </c>
      <c r="F23" s="615">
        <v>11183406.20254034</v>
      </c>
      <c r="G23" s="614">
        <v>1581979.7861437595</v>
      </c>
      <c r="H23" s="618">
        <v>1581979.7861437595</v>
      </c>
      <c r="I23" s="501">
        <f t="shared" si="6"/>
        <v>0</v>
      </c>
      <c r="J23" s="501"/>
      <c r="K23" s="507">
        <f t="shared" ref="K23" si="7">G23</f>
        <v>1581979.7861437595</v>
      </c>
      <c r="L23" s="508">
        <f t="shared" ref="L23:L24" si="8">IF(K23&lt;&gt;0,+G23-K23,0)</f>
        <v>0</v>
      </c>
      <c r="M23" s="507">
        <f t="shared" ref="M23" si="9">H23</f>
        <v>1581979.7861437595</v>
      </c>
      <c r="N23" s="505">
        <f>IF(M23&lt;&gt;0,+H23-M23,0)</f>
        <v>0</v>
      </c>
      <c r="O23" s="505">
        <f>+N23-L23</f>
        <v>0</v>
      </c>
      <c r="P23" s="279"/>
      <c r="R23" s="244"/>
      <c r="S23" s="244"/>
      <c r="T23" s="244"/>
      <c r="U23" s="244"/>
    </row>
    <row r="24" spans="2:21" ht="12.5">
      <c r="B24" s="145" t="str">
        <f t="shared" si="0"/>
        <v>IU</v>
      </c>
      <c r="C24" s="496">
        <f>IF(D11="","-",+C23+1)</f>
        <v>2021</v>
      </c>
      <c r="D24" s="509">
        <f>IF(F23+SUM(E$17:E23)=D$10,F23,D$10-SUM(E$17:E23))</f>
        <v>11444015.327459827</v>
      </c>
      <c r="E24" s="510">
        <f t="shared" ref="E24:E73" si="10">IF(+$I$14&lt;F23,$I$14,D24)</f>
        <v>389837.35852941172</v>
      </c>
      <c r="F24" s="511">
        <f t="shared" ref="F24:F73" si="11">+D24-E24</f>
        <v>11054177.968930416</v>
      </c>
      <c r="G24" s="512">
        <f t="shared" ref="G24:G73" si="12">(D24+F24)/2*I$12+E24</f>
        <v>1586934.1499466817</v>
      </c>
      <c r="H24" s="478">
        <f t="shared" ref="H24:H73" si="13">+(D24+F24)/2*I$13+E24</f>
        <v>1586934.1499466817</v>
      </c>
      <c r="I24" s="501">
        <f t="shared" si="6"/>
        <v>0</v>
      </c>
      <c r="J24" s="501"/>
      <c r="K24" s="513"/>
      <c r="L24" s="505">
        <f t="shared" si="8"/>
        <v>0</v>
      </c>
      <c r="M24" s="513"/>
      <c r="N24" s="505">
        <f t="shared" si="4"/>
        <v>0</v>
      </c>
      <c r="O24" s="505">
        <f t="shared" si="5"/>
        <v>0</v>
      </c>
      <c r="P24" s="279"/>
      <c r="R24" s="244"/>
      <c r="S24" s="244"/>
      <c r="T24" s="244"/>
      <c r="U24" s="244"/>
    </row>
    <row r="25" spans="2:21" ht="12.5">
      <c r="B25" s="145" t="str">
        <f t="shared" si="0"/>
        <v/>
      </c>
      <c r="C25" s="496">
        <f>IF(D11="","-",+C24+1)</f>
        <v>2022</v>
      </c>
      <c r="D25" s="509">
        <f>IF(F24+SUM(E$17:E24)=D$10,F24,D$10-SUM(E$17:E24))</f>
        <v>11054177.968930416</v>
      </c>
      <c r="E25" s="510">
        <f t="shared" si="10"/>
        <v>389837.35852941172</v>
      </c>
      <c r="F25" s="511">
        <f t="shared" si="11"/>
        <v>10664340.610401005</v>
      </c>
      <c r="G25" s="512">
        <f t="shared" si="12"/>
        <v>1545448.769772175</v>
      </c>
      <c r="H25" s="478">
        <f t="shared" si="13"/>
        <v>1545448.769772175</v>
      </c>
      <c r="I25" s="501">
        <f t="shared" si="6"/>
        <v>0</v>
      </c>
      <c r="J25" s="501"/>
      <c r="K25" s="513"/>
      <c r="L25" s="505">
        <f t="shared" ref="L25:L73" si="14">IF(K25&lt;&gt;0,+G25-K25,0)</f>
        <v>0</v>
      </c>
      <c r="M25" s="513"/>
      <c r="N25" s="505">
        <f t="shared" si="4"/>
        <v>0</v>
      </c>
      <c r="O25" s="505">
        <f t="shared" si="5"/>
        <v>0</v>
      </c>
      <c r="P25" s="279"/>
      <c r="R25" s="244"/>
      <c r="S25" s="244"/>
      <c r="T25" s="244"/>
      <c r="U25" s="244"/>
    </row>
    <row r="26" spans="2:21" ht="12.5">
      <c r="B26" s="145" t="str">
        <f t="shared" si="0"/>
        <v/>
      </c>
      <c r="C26" s="496">
        <f>IF(D11="","-",+C25+1)</f>
        <v>2023</v>
      </c>
      <c r="D26" s="509">
        <f>IF(F25+SUM(E$17:E25)=D$10,F25,D$10-SUM(E$17:E25))</f>
        <v>10664340.610401005</v>
      </c>
      <c r="E26" s="510">
        <f t="shared" si="10"/>
        <v>389837.35852941172</v>
      </c>
      <c r="F26" s="511">
        <f t="shared" si="11"/>
        <v>10274503.251871593</v>
      </c>
      <c r="G26" s="512">
        <f t="shared" si="12"/>
        <v>1503963.3895976685</v>
      </c>
      <c r="H26" s="478">
        <f t="shared" si="13"/>
        <v>1503963.3895976685</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2024</v>
      </c>
      <c r="D27" s="509">
        <f>IF(F26+SUM(E$17:E26)=D$10,F26,D$10-SUM(E$17:E26))</f>
        <v>10274503.251871593</v>
      </c>
      <c r="E27" s="510">
        <f t="shared" si="10"/>
        <v>389837.35852941172</v>
      </c>
      <c r="F27" s="511">
        <f t="shared" si="11"/>
        <v>9884665.893342182</v>
      </c>
      <c r="G27" s="512">
        <f t="shared" si="12"/>
        <v>1462478.0094231619</v>
      </c>
      <c r="H27" s="478">
        <f t="shared" si="13"/>
        <v>1462478.0094231619</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9884665.893342182</v>
      </c>
      <c r="E28" s="510">
        <f t="shared" si="10"/>
        <v>389837.35852941172</v>
      </c>
      <c r="F28" s="511">
        <f t="shared" si="11"/>
        <v>9494828.5348127708</v>
      </c>
      <c r="G28" s="512">
        <f t="shared" si="12"/>
        <v>1420992.6292486554</v>
      </c>
      <c r="H28" s="478">
        <f t="shared" si="13"/>
        <v>1420992.6292486554</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9494828.5348127708</v>
      </c>
      <c r="E29" s="510">
        <f t="shared" si="10"/>
        <v>389837.35852941172</v>
      </c>
      <c r="F29" s="511">
        <f t="shared" si="11"/>
        <v>9104991.1762833595</v>
      </c>
      <c r="G29" s="512">
        <f t="shared" si="12"/>
        <v>1379507.2490741489</v>
      </c>
      <c r="H29" s="478">
        <f t="shared" si="13"/>
        <v>1379507.2490741489</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9104991.1762833595</v>
      </c>
      <c r="E30" s="510">
        <f t="shared" si="10"/>
        <v>389837.35852941172</v>
      </c>
      <c r="F30" s="511">
        <f t="shared" si="11"/>
        <v>8715153.8177539483</v>
      </c>
      <c r="G30" s="512">
        <f t="shared" si="12"/>
        <v>1338021.8688996423</v>
      </c>
      <c r="H30" s="478">
        <f t="shared" si="13"/>
        <v>1338021.8688996423</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8715153.8177539483</v>
      </c>
      <c r="E31" s="510">
        <f t="shared" si="10"/>
        <v>389837.35852941172</v>
      </c>
      <c r="F31" s="511">
        <f t="shared" si="11"/>
        <v>8325316.459224537</v>
      </c>
      <c r="G31" s="512">
        <f t="shared" si="12"/>
        <v>1296536.4887251356</v>
      </c>
      <c r="H31" s="478">
        <f t="shared" si="13"/>
        <v>1296536.4887251356</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8325316.459224537</v>
      </c>
      <c r="E32" s="510">
        <f>IF(+$I$14&lt;F31,$I$14,D32)</f>
        <v>389837.35852941172</v>
      </c>
      <c r="F32" s="511">
        <f>+D32-E32</f>
        <v>7935479.1006951258</v>
      </c>
      <c r="G32" s="512">
        <f t="shared" si="12"/>
        <v>1255051.1085506291</v>
      </c>
      <c r="H32" s="478">
        <f t="shared" si="13"/>
        <v>1255051.1085506291</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7935479.1006951258</v>
      </c>
      <c r="E33" s="510">
        <f>IF(+$I$14&lt;F32,$I$14,D33)</f>
        <v>389837.35852941172</v>
      </c>
      <c r="F33" s="511">
        <f>+D33-E33</f>
        <v>7545641.7421657145</v>
      </c>
      <c r="G33" s="512">
        <f t="shared" si="12"/>
        <v>1213565.7283761227</v>
      </c>
      <c r="H33" s="478">
        <f t="shared" si="13"/>
        <v>1213565.7283761227</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7545641.7421657145</v>
      </c>
      <c r="E34" s="516">
        <f t="shared" si="10"/>
        <v>389837.35852941172</v>
      </c>
      <c r="F34" s="517">
        <f t="shared" si="11"/>
        <v>7155804.3836363032</v>
      </c>
      <c r="G34" s="512">
        <f t="shared" si="12"/>
        <v>1172080.348201616</v>
      </c>
      <c r="H34" s="478">
        <f t="shared" si="13"/>
        <v>1172080.348201616</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7155804.3836363032</v>
      </c>
      <c r="E35" s="510">
        <f t="shared" si="10"/>
        <v>389837.35852941172</v>
      </c>
      <c r="F35" s="511">
        <f t="shared" si="11"/>
        <v>6765967.025106892</v>
      </c>
      <c r="G35" s="512">
        <f t="shared" si="12"/>
        <v>1130594.9680271093</v>
      </c>
      <c r="H35" s="478">
        <f t="shared" si="13"/>
        <v>1130594.9680271093</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6765967.025106892</v>
      </c>
      <c r="E36" s="510">
        <f t="shared" si="10"/>
        <v>389837.35852941172</v>
      </c>
      <c r="F36" s="511">
        <f t="shared" si="11"/>
        <v>6376129.6665774807</v>
      </c>
      <c r="G36" s="512">
        <f t="shared" si="12"/>
        <v>1089109.5878526028</v>
      </c>
      <c r="H36" s="478">
        <f t="shared" si="13"/>
        <v>1089109.5878526028</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6376129.6665774807</v>
      </c>
      <c r="E37" s="510">
        <f t="shared" si="10"/>
        <v>389837.35852941172</v>
      </c>
      <c r="F37" s="511">
        <f t="shared" si="11"/>
        <v>5986292.3080480695</v>
      </c>
      <c r="G37" s="512">
        <f t="shared" si="12"/>
        <v>1047624.2076780964</v>
      </c>
      <c r="H37" s="478">
        <f t="shared" si="13"/>
        <v>1047624.2076780964</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5986292.3080480695</v>
      </c>
      <c r="E38" s="510">
        <f t="shared" si="10"/>
        <v>389837.35852941172</v>
      </c>
      <c r="F38" s="511">
        <f t="shared" si="11"/>
        <v>5596454.9495186582</v>
      </c>
      <c r="G38" s="512">
        <f t="shared" si="12"/>
        <v>1006138.8275035898</v>
      </c>
      <c r="H38" s="478">
        <f t="shared" si="13"/>
        <v>1006138.8275035898</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5596454.9495186582</v>
      </c>
      <c r="E39" s="510">
        <f t="shared" si="10"/>
        <v>389837.35852941172</v>
      </c>
      <c r="F39" s="511">
        <f t="shared" si="11"/>
        <v>5206617.590989247</v>
      </c>
      <c r="G39" s="512">
        <f t="shared" si="12"/>
        <v>964653.44732908322</v>
      </c>
      <c r="H39" s="478">
        <f t="shared" si="13"/>
        <v>964653.44732908322</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5206617.590989247</v>
      </c>
      <c r="E40" s="510">
        <f t="shared" si="10"/>
        <v>389837.35852941172</v>
      </c>
      <c r="F40" s="511">
        <f t="shared" si="11"/>
        <v>4816780.2324598357</v>
      </c>
      <c r="G40" s="512">
        <f t="shared" si="12"/>
        <v>923168.06715457665</v>
      </c>
      <c r="H40" s="478">
        <f t="shared" si="13"/>
        <v>923168.06715457665</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4816780.2324598357</v>
      </c>
      <c r="E41" s="510">
        <f t="shared" si="10"/>
        <v>389837.35852941172</v>
      </c>
      <c r="F41" s="511">
        <f t="shared" si="11"/>
        <v>4426942.8739304245</v>
      </c>
      <c r="G41" s="512">
        <f t="shared" si="12"/>
        <v>881682.68698007008</v>
      </c>
      <c r="H41" s="478">
        <f t="shared" si="13"/>
        <v>881682.68698007008</v>
      </c>
      <c r="I41" s="501">
        <f t="shared" si="6"/>
        <v>0</v>
      </c>
      <c r="J41" s="501"/>
      <c r="K41" s="513"/>
      <c r="L41" s="505">
        <f t="shared" si="14"/>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4426942.8739304245</v>
      </c>
      <c r="E42" s="510">
        <f t="shared" si="10"/>
        <v>389837.35852941172</v>
      </c>
      <c r="F42" s="511">
        <f t="shared" si="11"/>
        <v>4037105.5154010127</v>
      </c>
      <c r="G42" s="512">
        <f t="shared" si="12"/>
        <v>840197.30680556351</v>
      </c>
      <c r="H42" s="478">
        <f t="shared" si="13"/>
        <v>840197.30680556351</v>
      </c>
      <c r="I42" s="501">
        <f t="shared" si="6"/>
        <v>0</v>
      </c>
      <c r="J42" s="501"/>
      <c r="K42" s="513"/>
      <c r="L42" s="505">
        <f t="shared" si="14"/>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4037105.5154010127</v>
      </c>
      <c r="E43" s="510">
        <f t="shared" si="10"/>
        <v>389837.35852941172</v>
      </c>
      <c r="F43" s="511">
        <f t="shared" si="11"/>
        <v>3647268.156871601</v>
      </c>
      <c r="G43" s="512">
        <f t="shared" si="12"/>
        <v>798711.92663105694</v>
      </c>
      <c r="H43" s="478">
        <f t="shared" si="13"/>
        <v>798711.92663105694</v>
      </c>
      <c r="I43" s="501">
        <f t="shared" si="6"/>
        <v>0</v>
      </c>
      <c r="J43" s="501"/>
      <c r="K43" s="513"/>
      <c r="L43" s="505">
        <f t="shared" si="14"/>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3647268.156871601</v>
      </c>
      <c r="E44" s="510">
        <f t="shared" si="10"/>
        <v>389837.35852941172</v>
      </c>
      <c r="F44" s="511">
        <f t="shared" si="11"/>
        <v>3257430.7983421893</v>
      </c>
      <c r="G44" s="512">
        <f t="shared" si="12"/>
        <v>757226.54645655025</v>
      </c>
      <c r="H44" s="478">
        <f t="shared" si="13"/>
        <v>757226.54645655025</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3257430.7983421893</v>
      </c>
      <c r="E45" s="510">
        <f t="shared" si="10"/>
        <v>389837.35852941172</v>
      </c>
      <c r="F45" s="511">
        <f t="shared" si="11"/>
        <v>2867593.4398127776</v>
      </c>
      <c r="G45" s="512">
        <f t="shared" si="12"/>
        <v>715741.16628204356</v>
      </c>
      <c r="H45" s="478">
        <f t="shared" si="13"/>
        <v>715741.16628204356</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2867593.4398127776</v>
      </c>
      <c r="E46" s="510">
        <f t="shared" si="10"/>
        <v>389837.35852941172</v>
      </c>
      <c r="F46" s="511">
        <f t="shared" si="11"/>
        <v>2477756.0812833658</v>
      </c>
      <c r="G46" s="512">
        <f t="shared" si="12"/>
        <v>674255.7861075371</v>
      </c>
      <c r="H46" s="478">
        <f t="shared" si="13"/>
        <v>674255.7861075371</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2477756.0812833658</v>
      </c>
      <c r="E47" s="510">
        <f t="shared" si="10"/>
        <v>389837.35852941172</v>
      </c>
      <c r="F47" s="511">
        <f t="shared" si="11"/>
        <v>2087918.7227539541</v>
      </c>
      <c r="G47" s="512">
        <f t="shared" si="12"/>
        <v>632770.40593303042</v>
      </c>
      <c r="H47" s="478">
        <f t="shared" si="13"/>
        <v>632770.40593303042</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2087918.7227539541</v>
      </c>
      <c r="E48" s="510">
        <f t="shared" si="10"/>
        <v>389837.35852941172</v>
      </c>
      <c r="F48" s="511">
        <f t="shared" si="11"/>
        <v>1698081.3642245424</v>
      </c>
      <c r="G48" s="512">
        <f t="shared" si="12"/>
        <v>591285.02575852384</v>
      </c>
      <c r="H48" s="478">
        <f t="shared" si="13"/>
        <v>591285.02575852384</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1698081.3642245424</v>
      </c>
      <c r="E49" s="510">
        <f t="shared" si="10"/>
        <v>389837.35852941172</v>
      </c>
      <c r="F49" s="511">
        <f t="shared" si="11"/>
        <v>1308244.0056951307</v>
      </c>
      <c r="G49" s="512">
        <f t="shared" si="12"/>
        <v>549799.64558401727</v>
      </c>
      <c r="H49" s="478">
        <f t="shared" si="13"/>
        <v>549799.64558401727</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1308244.0056951307</v>
      </c>
      <c r="E50" s="510">
        <f t="shared" si="10"/>
        <v>389837.35852941172</v>
      </c>
      <c r="F50" s="511">
        <f t="shared" si="11"/>
        <v>918406.64716571895</v>
      </c>
      <c r="G50" s="512">
        <f t="shared" si="12"/>
        <v>508314.26540951064</v>
      </c>
      <c r="H50" s="478">
        <f t="shared" si="13"/>
        <v>508314.26540951064</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918406.64716571895</v>
      </c>
      <c r="E51" s="510">
        <f t="shared" si="10"/>
        <v>389837.35852941172</v>
      </c>
      <c r="F51" s="511">
        <f t="shared" si="11"/>
        <v>528569.28863630723</v>
      </c>
      <c r="G51" s="512">
        <f t="shared" si="12"/>
        <v>466828.88523500401</v>
      </c>
      <c r="H51" s="478">
        <f t="shared" si="13"/>
        <v>466828.88523500401</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528569.28863630723</v>
      </c>
      <c r="E52" s="510">
        <f t="shared" si="10"/>
        <v>389837.35852941172</v>
      </c>
      <c r="F52" s="511">
        <f t="shared" si="11"/>
        <v>138731.93010689551</v>
      </c>
      <c r="G52" s="512">
        <f t="shared" si="12"/>
        <v>425343.50506049744</v>
      </c>
      <c r="H52" s="478">
        <f t="shared" si="13"/>
        <v>425343.50506049744</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138731.93010689551</v>
      </c>
      <c r="E53" s="510">
        <f t="shared" si="10"/>
        <v>138731.93010689551</v>
      </c>
      <c r="F53" s="511">
        <f t="shared" si="11"/>
        <v>0</v>
      </c>
      <c r="G53" s="512">
        <f t="shared" si="12"/>
        <v>146113.6583288117</v>
      </c>
      <c r="H53" s="478">
        <f t="shared" si="13"/>
        <v>146113.6583288117</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0"/>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0"/>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0"/>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0"/>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0"/>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0"/>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0"/>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0"/>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0"/>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0"/>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0"/>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0"/>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0"/>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0"/>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0"/>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0"/>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0"/>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0"/>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0"/>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0"/>
        <v>0</v>
      </c>
      <c r="F73" s="528">
        <f t="shared" si="11"/>
        <v>0</v>
      </c>
      <c r="G73" s="528">
        <f t="shared" si="12"/>
        <v>0</v>
      </c>
      <c r="H73" s="528">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13254470.189999996</v>
      </c>
      <c r="F74" s="295"/>
      <c r="G74" s="295">
        <f>SUM(G17:G73)</f>
        <v>39577865.764908157</v>
      </c>
      <c r="H74" s="295">
        <f>SUM(H17:H73)</f>
        <v>39577865.764908157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12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1581979.7861437595</v>
      </c>
      <c r="N88" s="545">
        <f>IF(J93&lt;D11,0,VLOOKUP(J93,C17:O73,11))</f>
        <v>1581979.7861437595</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1727160.6739647929</v>
      </c>
      <c r="N89" s="549">
        <f>IF(J93&lt;D11,0,VLOOKUP(J93,C100:P155,7))</f>
        <v>1727160.6739647929</v>
      </c>
      <c r="O89" s="550">
        <f>+N89-M89</f>
        <v>0</v>
      </c>
      <c r="P89" s="244"/>
      <c r="Q89" s="244"/>
      <c r="R89" s="244"/>
      <c r="S89" s="244"/>
      <c r="T89" s="244"/>
      <c r="U89" s="244"/>
    </row>
    <row r="90" spans="1:21" ht="13.5" thickBot="1">
      <c r="C90" s="455" t="s">
        <v>82</v>
      </c>
      <c r="D90" s="551" t="str">
        <f>+D7</f>
        <v>Darlington-Red Rock 138 kV line</v>
      </c>
      <c r="E90" s="244"/>
      <c r="F90" s="244"/>
      <c r="G90" s="244"/>
      <c r="H90" s="244"/>
      <c r="I90" s="326"/>
      <c r="J90" s="326"/>
      <c r="K90" s="552"/>
      <c r="L90" s="553" t="s">
        <v>135</v>
      </c>
      <c r="M90" s="554">
        <f>+M89-M88</f>
        <v>145180.88782103336</v>
      </c>
      <c r="N90" s="554">
        <f>+N89-N88</f>
        <v>145180.88782103336</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TP2012112</v>
      </c>
      <c r="E92" s="559"/>
      <c r="F92" s="559"/>
      <c r="G92" s="559"/>
      <c r="H92" s="559"/>
      <c r="I92" s="559"/>
      <c r="J92" s="559"/>
      <c r="K92" s="561"/>
      <c r="P92" s="469"/>
      <c r="Q92" s="244"/>
      <c r="R92" s="244"/>
      <c r="S92" s="244"/>
      <c r="T92" s="244"/>
      <c r="U92" s="244"/>
    </row>
    <row r="93" spans="1:21" ht="13">
      <c r="C93" s="473" t="s">
        <v>49</v>
      </c>
      <c r="D93" s="623">
        <v>13254470</v>
      </c>
      <c r="E93" s="249" t="s">
        <v>84</v>
      </c>
      <c r="H93" s="409"/>
      <c r="I93" s="409"/>
      <c r="J93" s="472">
        <f>+'OKT.WS.G.BPU.ATRR.True-up'!M16</f>
        <v>2020</v>
      </c>
      <c r="K93" s="468"/>
      <c r="L93" s="295" t="s">
        <v>85</v>
      </c>
      <c r="P93" s="279"/>
      <c r="Q93" s="244"/>
      <c r="R93" s="244"/>
      <c r="S93" s="244"/>
      <c r="T93" s="244"/>
      <c r="U93" s="244"/>
    </row>
    <row r="94" spans="1:21" ht="12.5">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4</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473373.92857142858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350"/>
      <c r="E100" s="512"/>
      <c r="F100" s="511"/>
      <c r="G100" s="606"/>
      <c r="H100" s="606"/>
      <c r="I100" s="606"/>
      <c r="J100" s="505"/>
      <c r="K100" s="505"/>
      <c r="L100" s="502"/>
      <c r="M100" s="503">
        <f t="shared" ref="M100:M131" si="15">IF(L100&lt;&gt;0,+H100-L100,0)</f>
        <v>0</v>
      </c>
      <c r="N100" s="502"/>
      <c r="O100" s="504">
        <f t="shared" ref="O100:O131" si="16">IF(N100&lt;&gt;0,+I100-N100,0)</f>
        <v>0</v>
      </c>
      <c r="P100" s="504">
        <f t="shared" ref="P100:P131" si="17">+O100-M100</f>
        <v>0</v>
      </c>
      <c r="Q100" s="244"/>
      <c r="R100" s="244"/>
      <c r="S100" s="244"/>
      <c r="T100" s="244"/>
      <c r="U100" s="244"/>
    </row>
    <row r="101" spans="1:21" ht="12.5">
      <c r="C101" s="496">
        <f>IF(D94="","-",+C100+1)</f>
        <v>2015</v>
      </c>
      <c r="D101" s="350"/>
      <c r="E101" s="510"/>
      <c r="F101" s="511"/>
      <c r="G101" s="511"/>
      <c r="H101" s="627"/>
      <c r="I101" s="628"/>
      <c r="J101" s="505"/>
      <c r="K101" s="505"/>
      <c r="L101" s="507"/>
      <c r="M101" s="508">
        <f t="shared" si="15"/>
        <v>0</v>
      </c>
      <c r="N101" s="507"/>
      <c r="O101" s="505">
        <f t="shared" si="16"/>
        <v>0</v>
      </c>
      <c r="P101" s="505">
        <f t="shared" si="17"/>
        <v>0</v>
      </c>
      <c r="Q101" s="244"/>
      <c r="R101" s="244"/>
      <c r="S101" s="244"/>
      <c r="T101" s="244"/>
      <c r="U101" s="244"/>
    </row>
    <row r="102" spans="1:21" ht="12.5">
      <c r="B102" s="145" t="str">
        <f t="shared" ref="B102:B155" si="18">IF(D102=F101,"","IU")</f>
        <v>IU</v>
      </c>
      <c r="C102" s="496">
        <f>IF(D94="","-",+C101+1)</f>
        <v>2016</v>
      </c>
      <c r="D102" s="497">
        <v>12986963.014521964</v>
      </c>
      <c r="E102" s="499">
        <v>276134.79166666669</v>
      </c>
      <c r="F102" s="506">
        <v>12710828.222855298</v>
      </c>
      <c r="G102" s="506">
        <v>12848895.618688632</v>
      </c>
      <c r="H102" s="499">
        <v>1706594.9989443137</v>
      </c>
      <c r="I102" s="500">
        <v>1706594.9989443137</v>
      </c>
      <c r="J102" s="505">
        <v>0</v>
      </c>
      <c r="K102" s="505"/>
      <c r="L102" s="507">
        <f>H102</f>
        <v>1706594.9989443137</v>
      </c>
      <c r="M102" s="505">
        <f>IF(L102&lt;&gt;0,+H102-L102,0)</f>
        <v>0</v>
      </c>
      <c r="N102" s="507">
        <f>I102</f>
        <v>1706594.9989443137</v>
      </c>
      <c r="O102" s="505">
        <f t="shared" si="16"/>
        <v>0</v>
      </c>
      <c r="P102" s="505">
        <f t="shared" si="17"/>
        <v>0</v>
      </c>
      <c r="Q102" s="244"/>
      <c r="R102" s="244"/>
      <c r="S102" s="244"/>
      <c r="T102" s="244"/>
      <c r="U102" s="244"/>
    </row>
    <row r="103" spans="1:21" ht="12.5">
      <c r="B103" s="145" t="str">
        <f t="shared" si="18"/>
        <v>IU</v>
      </c>
      <c r="C103" s="496">
        <f>IF(D94="","-",+C102+1)</f>
        <v>2017</v>
      </c>
      <c r="D103" s="497">
        <v>12978335.208333334</v>
      </c>
      <c r="E103" s="499">
        <v>259891.56862745099</v>
      </c>
      <c r="F103" s="506">
        <v>12718443.639705883</v>
      </c>
      <c r="G103" s="506">
        <v>12848389.424019609</v>
      </c>
      <c r="H103" s="499">
        <v>1652264.5848598198</v>
      </c>
      <c r="I103" s="500">
        <v>1652264.5848598198</v>
      </c>
      <c r="J103" s="505">
        <f>+I103-H103</f>
        <v>0</v>
      </c>
      <c r="K103" s="505"/>
      <c r="L103" s="507">
        <f>H103</f>
        <v>1652264.5848598198</v>
      </c>
      <c r="M103" s="505">
        <f>IF(L103&lt;&gt;0,+H103-L103,0)</f>
        <v>0</v>
      </c>
      <c r="N103" s="507">
        <f>I103</f>
        <v>1652264.5848598198</v>
      </c>
      <c r="O103" s="505">
        <f>IF(N103&lt;&gt;0,+I103-N103,0)</f>
        <v>0</v>
      </c>
      <c r="P103" s="505">
        <f>+O103-M103</f>
        <v>0</v>
      </c>
      <c r="Q103" s="244"/>
      <c r="R103" s="244"/>
      <c r="S103" s="244"/>
      <c r="T103" s="244"/>
      <c r="U103" s="244"/>
    </row>
    <row r="104" spans="1:21" ht="12.5">
      <c r="B104" s="145" t="str">
        <f t="shared" si="18"/>
        <v/>
      </c>
      <c r="C104" s="496">
        <f>IF(D94="","-",+C103+1)</f>
        <v>2018</v>
      </c>
      <c r="D104" s="497">
        <v>12718443.639705883</v>
      </c>
      <c r="E104" s="499">
        <v>331361.75</v>
      </c>
      <c r="F104" s="506">
        <v>12387081.889705883</v>
      </c>
      <c r="G104" s="506">
        <v>12552762.764705883</v>
      </c>
      <c r="H104" s="499">
        <v>1804251.0172391555</v>
      </c>
      <c r="I104" s="500">
        <v>1804251.0172391555</v>
      </c>
      <c r="J104" s="505">
        <v>0</v>
      </c>
      <c r="K104" s="505"/>
      <c r="L104" s="507">
        <f>H104</f>
        <v>1804251.0172391555</v>
      </c>
      <c r="M104" s="505">
        <f>IF(L104&lt;&gt;0,+H104-L104,0)</f>
        <v>0</v>
      </c>
      <c r="N104" s="507">
        <f>I104</f>
        <v>1804251.0172391555</v>
      </c>
      <c r="O104" s="505">
        <f>IF(N104&lt;&gt;0,+I104-N104,0)</f>
        <v>0</v>
      </c>
      <c r="P104" s="505">
        <f>+O104-M104</f>
        <v>0</v>
      </c>
      <c r="Q104" s="244"/>
      <c r="R104" s="244"/>
      <c r="S104" s="244"/>
      <c r="T104" s="244"/>
      <c r="U104" s="244"/>
    </row>
    <row r="105" spans="1:21" ht="12.5">
      <c r="B105" s="145" t="str">
        <f t="shared" si="18"/>
        <v/>
      </c>
      <c r="C105" s="496">
        <f>IF(D94="","-",+C104+1)</f>
        <v>2019</v>
      </c>
      <c r="D105" s="497">
        <v>12387081.889705883</v>
      </c>
      <c r="E105" s="499">
        <v>368179.72222222225</v>
      </c>
      <c r="F105" s="506">
        <v>12018902.167483661</v>
      </c>
      <c r="G105" s="506">
        <v>12202992.028594773</v>
      </c>
      <c r="H105" s="499">
        <v>1656357.447097271</v>
      </c>
      <c r="I105" s="500">
        <v>1656357.447097271</v>
      </c>
      <c r="J105" s="505">
        <f t="shared" ref="J105:J155" si="19">+I105-H105</f>
        <v>0</v>
      </c>
      <c r="K105" s="505"/>
      <c r="L105" s="507">
        <f>H105</f>
        <v>1656357.447097271</v>
      </c>
      <c r="M105" s="505">
        <f>IF(L105&lt;&gt;0,+H105-L105,0)</f>
        <v>0</v>
      </c>
      <c r="N105" s="507">
        <f>I105</f>
        <v>1656357.447097271</v>
      </c>
      <c r="O105" s="505">
        <f>IF(N105&lt;&gt;0,+I105-N105,0)</f>
        <v>0</v>
      </c>
      <c r="P105" s="505">
        <f>+O105-M105</f>
        <v>0</v>
      </c>
      <c r="Q105" s="244"/>
      <c r="R105" s="244"/>
      <c r="S105" s="244"/>
      <c r="T105" s="244"/>
      <c r="U105" s="244"/>
    </row>
    <row r="106" spans="1:21" ht="12.5">
      <c r="B106" s="145" t="str">
        <f t="shared" si="18"/>
        <v/>
      </c>
      <c r="C106" s="496">
        <f>IF(D94="","-",+C105+1)</f>
        <v>2020</v>
      </c>
      <c r="D106" s="350">
        <f>IF(F105+SUM(E$100:E105)=D$93,F105,D$93-SUM(E$100:E105))</f>
        <v>12018902.167483661</v>
      </c>
      <c r="E106" s="629">
        <f t="shared" ref="E106" si="20">IF(+$J$97&lt;F105,$J$97,D106)</f>
        <v>473373.92857142858</v>
      </c>
      <c r="F106" s="511">
        <f t="shared" ref="F106" si="21">+D106-E106</f>
        <v>11545528.238912232</v>
      </c>
      <c r="G106" s="511">
        <f t="shared" ref="G106" si="22">+(F106+D106)/2</f>
        <v>11782215.203197947</v>
      </c>
      <c r="H106" s="646">
        <f>(D106+F106)/2*J$95+E106</f>
        <v>1727160.6739647929</v>
      </c>
      <c r="I106" s="630">
        <f t="shared" ref="I106" si="23">+J$96*G106+E106</f>
        <v>1727160.6739647929</v>
      </c>
      <c r="J106" s="505">
        <f t="shared" si="19"/>
        <v>0</v>
      </c>
      <c r="K106" s="505"/>
      <c r="L106" s="513"/>
      <c r="M106" s="505">
        <f t="shared" ref="M106" si="24">IF(L106&lt;&gt;0,+H106-L106,0)</f>
        <v>0</v>
      </c>
      <c r="N106" s="513"/>
      <c r="O106" s="505">
        <f t="shared" si="16"/>
        <v>0</v>
      </c>
      <c r="P106" s="505">
        <f t="shared" si="17"/>
        <v>0</v>
      </c>
      <c r="Q106" s="244"/>
      <c r="R106" s="244"/>
      <c r="S106" s="244"/>
      <c r="T106" s="244"/>
      <c r="U106" s="244"/>
    </row>
    <row r="107" spans="1:21" ht="12.5">
      <c r="B107" s="145" t="str">
        <f t="shared" si="18"/>
        <v/>
      </c>
      <c r="C107" s="496">
        <f>IF(D94="","-",+C106+1)</f>
        <v>2021</v>
      </c>
      <c r="D107" s="350">
        <f>IF(F106+SUM(E$100:E106)=D$93,F106,D$93-SUM(E$100:E106))</f>
        <v>11545528.238912232</v>
      </c>
      <c r="E107" s="629">
        <f t="shared" ref="E107:E155" si="25">IF(+$J$97&lt;F106,$J$97,D107)</f>
        <v>473373.92857142858</v>
      </c>
      <c r="F107" s="511">
        <f t="shared" ref="F107:F155" si="26">+D107-E107</f>
        <v>11072154.310340803</v>
      </c>
      <c r="G107" s="511">
        <f t="shared" ref="G107:G155" si="27">+(F107+D107)/2</f>
        <v>11308841.274626518</v>
      </c>
      <c r="H107" s="646">
        <f>(D107+F107)/2*J$95+E107</f>
        <v>1676787.2979041899</v>
      </c>
      <c r="I107" s="630">
        <f t="shared" ref="I107:I155" si="28">+J$96*G107+E107</f>
        <v>1676787.2979041899</v>
      </c>
      <c r="J107" s="505">
        <f t="shared" si="19"/>
        <v>0</v>
      </c>
      <c r="K107" s="505"/>
      <c r="L107" s="513"/>
      <c r="M107" s="505">
        <f t="shared" si="15"/>
        <v>0</v>
      </c>
      <c r="N107" s="513"/>
      <c r="O107" s="505">
        <f t="shared" si="16"/>
        <v>0</v>
      </c>
      <c r="P107" s="505">
        <f t="shared" si="17"/>
        <v>0</v>
      </c>
      <c r="Q107" s="244"/>
      <c r="R107" s="244"/>
      <c r="S107" s="244"/>
      <c r="T107" s="244"/>
      <c r="U107" s="244"/>
    </row>
    <row r="108" spans="1:21" ht="12.5">
      <c r="B108" s="145" t="str">
        <f t="shared" si="18"/>
        <v/>
      </c>
      <c r="C108" s="496">
        <f>IF(D94="","-",+C107+1)</f>
        <v>2022</v>
      </c>
      <c r="D108" s="350">
        <f>IF(F107+SUM(E$100:E107)=D$93,F107,D$93-SUM(E$100:E107))</f>
        <v>11072154.310340803</v>
      </c>
      <c r="E108" s="629">
        <f t="shared" si="25"/>
        <v>473373.92857142858</v>
      </c>
      <c r="F108" s="511">
        <f t="shared" si="26"/>
        <v>10598780.381769374</v>
      </c>
      <c r="G108" s="511">
        <f t="shared" si="27"/>
        <v>10835467.346055089</v>
      </c>
      <c r="H108" s="646">
        <f t="shared" ref="H108:H155" si="29">(D108+F108)/2*J$95+E108</f>
        <v>1626413.921843587</v>
      </c>
      <c r="I108" s="630">
        <f t="shared" si="28"/>
        <v>1626413.921843587</v>
      </c>
      <c r="J108" s="505">
        <f t="shared" si="19"/>
        <v>0</v>
      </c>
      <c r="K108" s="505"/>
      <c r="L108" s="513"/>
      <c r="M108" s="505">
        <f t="shared" si="15"/>
        <v>0</v>
      </c>
      <c r="N108" s="513"/>
      <c r="O108" s="505">
        <f t="shared" si="16"/>
        <v>0</v>
      </c>
      <c r="P108" s="505">
        <f t="shared" si="17"/>
        <v>0</v>
      </c>
      <c r="Q108" s="244"/>
      <c r="R108" s="244"/>
      <c r="S108" s="244"/>
      <c r="T108" s="244"/>
      <c r="U108" s="244"/>
    </row>
    <row r="109" spans="1:21" ht="12.5">
      <c r="B109" s="145" t="str">
        <f t="shared" si="18"/>
        <v/>
      </c>
      <c r="C109" s="496">
        <f>IF(D94="","-",+C108+1)</f>
        <v>2023</v>
      </c>
      <c r="D109" s="350">
        <f>IF(F108+SUM(E$100:E108)=D$93,F108,D$93-SUM(E$100:E108))</f>
        <v>10598780.381769374</v>
      </c>
      <c r="E109" s="629">
        <f t="shared" si="25"/>
        <v>473373.92857142858</v>
      </c>
      <c r="F109" s="511">
        <f t="shared" si="26"/>
        <v>10125406.453197945</v>
      </c>
      <c r="G109" s="511">
        <f t="shared" si="27"/>
        <v>10362093.417483659</v>
      </c>
      <c r="H109" s="646">
        <f t="shared" si="29"/>
        <v>1576040.545782984</v>
      </c>
      <c r="I109" s="630">
        <f t="shared" si="28"/>
        <v>1576040.545782984</v>
      </c>
      <c r="J109" s="505">
        <f t="shared" si="19"/>
        <v>0</v>
      </c>
      <c r="K109" s="505"/>
      <c r="L109" s="513"/>
      <c r="M109" s="505">
        <f t="shared" si="15"/>
        <v>0</v>
      </c>
      <c r="N109" s="513"/>
      <c r="O109" s="505">
        <f t="shared" si="16"/>
        <v>0</v>
      </c>
      <c r="P109" s="505">
        <f t="shared" si="17"/>
        <v>0</v>
      </c>
      <c r="Q109" s="244"/>
      <c r="R109" s="244"/>
      <c r="S109" s="244"/>
      <c r="T109" s="244"/>
      <c r="U109" s="244"/>
    </row>
    <row r="110" spans="1:21" ht="12.5">
      <c r="B110" s="145" t="str">
        <f t="shared" si="18"/>
        <v/>
      </c>
      <c r="C110" s="496">
        <f>IF(D94="","-",+C109+1)</f>
        <v>2024</v>
      </c>
      <c r="D110" s="350">
        <f>IF(F109+SUM(E$100:E109)=D$93,F109,D$93-SUM(E$100:E109))</f>
        <v>10125406.453197945</v>
      </c>
      <c r="E110" s="629">
        <f t="shared" si="25"/>
        <v>473373.92857142858</v>
      </c>
      <c r="F110" s="511">
        <f t="shared" si="26"/>
        <v>9652032.5246265158</v>
      </c>
      <c r="G110" s="511">
        <f t="shared" si="27"/>
        <v>9888719.4889122304</v>
      </c>
      <c r="H110" s="646">
        <f t="shared" si="29"/>
        <v>1525667.1697223813</v>
      </c>
      <c r="I110" s="630">
        <f t="shared" si="28"/>
        <v>1525667.1697223813</v>
      </c>
      <c r="J110" s="505">
        <f t="shared" si="19"/>
        <v>0</v>
      </c>
      <c r="K110" s="505"/>
      <c r="L110" s="513"/>
      <c r="M110" s="505">
        <f t="shared" si="15"/>
        <v>0</v>
      </c>
      <c r="N110" s="513"/>
      <c r="O110" s="505">
        <f t="shared" si="16"/>
        <v>0</v>
      </c>
      <c r="P110" s="505">
        <f t="shared" si="17"/>
        <v>0</v>
      </c>
      <c r="Q110" s="244"/>
      <c r="R110" s="244"/>
      <c r="S110" s="244"/>
      <c r="T110" s="244"/>
      <c r="U110" s="244"/>
    </row>
    <row r="111" spans="1:21" ht="12.5">
      <c r="B111" s="145" t="str">
        <f t="shared" si="18"/>
        <v/>
      </c>
      <c r="C111" s="496">
        <f>IF(D94="","-",+C110+1)</f>
        <v>2025</v>
      </c>
      <c r="D111" s="350">
        <f>IF(F110+SUM(E$100:E110)=D$93,F110,D$93-SUM(E$100:E110))</f>
        <v>9652032.5246265158</v>
      </c>
      <c r="E111" s="629">
        <f t="shared" si="25"/>
        <v>473373.92857142858</v>
      </c>
      <c r="F111" s="511">
        <f t="shared" si="26"/>
        <v>9178658.5960550867</v>
      </c>
      <c r="G111" s="511">
        <f t="shared" si="27"/>
        <v>9415345.5603408013</v>
      </c>
      <c r="H111" s="646">
        <f t="shared" si="29"/>
        <v>1475293.7936617783</v>
      </c>
      <c r="I111" s="630">
        <f t="shared" si="28"/>
        <v>1475293.7936617783</v>
      </c>
      <c r="J111" s="505">
        <f t="shared" si="19"/>
        <v>0</v>
      </c>
      <c r="K111" s="505"/>
      <c r="L111" s="513"/>
      <c r="M111" s="505">
        <f t="shared" si="15"/>
        <v>0</v>
      </c>
      <c r="N111" s="513"/>
      <c r="O111" s="505">
        <f t="shared" si="16"/>
        <v>0</v>
      </c>
      <c r="P111" s="505">
        <f t="shared" si="17"/>
        <v>0</v>
      </c>
      <c r="Q111" s="244"/>
      <c r="R111" s="244"/>
      <c r="S111" s="244"/>
      <c r="T111" s="244"/>
      <c r="U111" s="244"/>
    </row>
    <row r="112" spans="1:21" ht="12.5">
      <c r="B112" s="145" t="str">
        <f t="shared" si="18"/>
        <v/>
      </c>
      <c r="C112" s="496">
        <f>IF(D94="","-",+C111+1)</f>
        <v>2026</v>
      </c>
      <c r="D112" s="350">
        <f>IF(F111+SUM(E$100:E111)=D$93,F111,D$93-SUM(E$100:E111))</f>
        <v>9178658.5960550867</v>
      </c>
      <c r="E112" s="629">
        <f t="shared" si="25"/>
        <v>473373.92857142858</v>
      </c>
      <c r="F112" s="511">
        <f t="shared" si="26"/>
        <v>8705284.6674836576</v>
      </c>
      <c r="G112" s="511">
        <f t="shared" si="27"/>
        <v>8941971.6317693722</v>
      </c>
      <c r="H112" s="646">
        <f t="shared" si="29"/>
        <v>1424920.4176011754</v>
      </c>
      <c r="I112" s="630">
        <f t="shared" si="28"/>
        <v>1424920.4176011754</v>
      </c>
      <c r="J112" s="505">
        <f t="shared" si="19"/>
        <v>0</v>
      </c>
      <c r="K112" s="505"/>
      <c r="L112" s="513"/>
      <c r="M112" s="505">
        <f t="shared" si="15"/>
        <v>0</v>
      </c>
      <c r="N112" s="513"/>
      <c r="O112" s="505">
        <f t="shared" si="16"/>
        <v>0</v>
      </c>
      <c r="P112" s="505">
        <f t="shared" si="17"/>
        <v>0</v>
      </c>
      <c r="Q112" s="244"/>
      <c r="R112" s="244"/>
      <c r="S112" s="244"/>
      <c r="T112" s="244"/>
      <c r="U112" s="244"/>
    </row>
    <row r="113" spans="2:21" ht="12.5">
      <c r="B113" s="145" t="str">
        <f t="shared" si="18"/>
        <v/>
      </c>
      <c r="C113" s="496">
        <f>IF(D94="","-",+C112+1)</f>
        <v>2027</v>
      </c>
      <c r="D113" s="350">
        <f>IF(F112+SUM(E$100:E112)=D$93,F112,D$93-SUM(E$100:E112))</f>
        <v>8705284.6674836576</v>
      </c>
      <c r="E113" s="629">
        <f t="shared" si="25"/>
        <v>473373.92857142858</v>
      </c>
      <c r="F113" s="511">
        <f t="shared" si="26"/>
        <v>8231910.7389122294</v>
      </c>
      <c r="G113" s="511">
        <f t="shared" si="27"/>
        <v>8468597.703197943</v>
      </c>
      <c r="H113" s="646">
        <f t="shared" si="29"/>
        <v>1374547.0415405724</v>
      </c>
      <c r="I113" s="630">
        <f t="shared" si="28"/>
        <v>1374547.0415405724</v>
      </c>
      <c r="J113" s="505">
        <f t="shared" si="19"/>
        <v>0</v>
      </c>
      <c r="K113" s="505"/>
      <c r="L113" s="513"/>
      <c r="M113" s="505">
        <f t="shared" si="15"/>
        <v>0</v>
      </c>
      <c r="N113" s="513"/>
      <c r="O113" s="505">
        <f t="shared" si="16"/>
        <v>0</v>
      </c>
      <c r="P113" s="505">
        <f t="shared" si="17"/>
        <v>0</v>
      </c>
      <c r="Q113" s="244"/>
      <c r="R113" s="244"/>
      <c r="S113" s="244"/>
      <c r="T113" s="244"/>
      <c r="U113" s="244"/>
    </row>
    <row r="114" spans="2:21" ht="12.5">
      <c r="B114" s="145" t="str">
        <f t="shared" si="18"/>
        <v/>
      </c>
      <c r="C114" s="496">
        <f>IF(D94="","-",+C113+1)</f>
        <v>2028</v>
      </c>
      <c r="D114" s="350">
        <f>IF(F113+SUM(E$100:E113)=D$93,F113,D$93-SUM(E$100:E113))</f>
        <v>8231910.7389122294</v>
      </c>
      <c r="E114" s="629">
        <f t="shared" si="25"/>
        <v>473373.92857142858</v>
      </c>
      <c r="F114" s="511">
        <f t="shared" si="26"/>
        <v>7758536.8103408013</v>
      </c>
      <c r="G114" s="511">
        <f t="shared" si="27"/>
        <v>7995223.7746265158</v>
      </c>
      <c r="H114" s="646">
        <f t="shared" si="29"/>
        <v>1324173.6654799697</v>
      </c>
      <c r="I114" s="630">
        <f t="shared" si="28"/>
        <v>1324173.6654799697</v>
      </c>
      <c r="J114" s="505">
        <f t="shared" si="19"/>
        <v>0</v>
      </c>
      <c r="K114" s="505"/>
      <c r="L114" s="513"/>
      <c r="M114" s="505">
        <f t="shared" si="15"/>
        <v>0</v>
      </c>
      <c r="N114" s="513"/>
      <c r="O114" s="505">
        <f t="shared" si="16"/>
        <v>0</v>
      </c>
      <c r="P114" s="505">
        <f t="shared" si="17"/>
        <v>0</v>
      </c>
      <c r="Q114" s="244"/>
      <c r="R114" s="244"/>
      <c r="S114" s="244"/>
      <c r="T114" s="244"/>
      <c r="U114" s="244"/>
    </row>
    <row r="115" spans="2:21" ht="12.5">
      <c r="B115" s="145" t="str">
        <f t="shared" si="18"/>
        <v/>
      </c>
      <c r="C115" s="496">
        <f>IF(D94="","-",+C114+1)</f>
        <v>2029</v>
      </c>
      <c r="D115" s="350">
        <f>IF(F114+SUM(E$100:E114)=D$93,F114,D$93-SUM(E$100:E114))</f>
        <v>7758536.8103408013</v>
      </c>
      <c r="E115" s="629">
        <f t="shared" si="25"/>
        <v>473373.92857142858</v>
      </c>
      <c r="F115" s="511">
        <f t="shared" si="26"/>
        <v>7285162.8817693731</v>
      </c>
      <c r="G115" s="511">
        <f t="shared" si="27"/>
        <v>7521849.8460550867</v>
      </c>
      <c r="H115" s="646">
        <f t="shared" si="29"/>
        <v>1273800.2894193667</v>
      </c>
      <c r="I115" s="630">
        <f t="shared" si="28"/>
        <v>1273800.2894193667</v>
      </c>
      <c r="J115" s="505">
        <f t="shared" si="19"/>
        <v>0</v>
      </c>
      <c r="K115" s="505"/>
      <c r="L115" s="513"/>
      <c r="M115" s="505">
        <f t="shared" si="15"/>
        <v>0</v>
      </c>
      <c r="N115" s="513"/>
      <c r="O115" s="505">
        <f t="shared" si="16"/>
        <v>0</v>
      </c>
      <c r="P115" s="505">
        <f t="shared" si="17"/>
        <v>0</v>
      </c>
      <c r="Q115" s="244"/>
      <c r="R115" s="244"/>
      <c r="S115" s="244"/>
      <c r="T115" s="244"/>
      <c r="U115" s="244"/>
    </row>
    <row r="116" spans="2:21" ht="12.5">
      <c r="B116" s="145" t="str">
        <f t="shared" si="18"/>
        <v/>
      </c>
      <c r="C116" s="496">
        <f>IF(D94="","-",+C115+1)</f>
        <v>2030</v>
      </c>
      <c r="D116" s="350">
        <f>IF(F115+SUM(E$100:E115)=D$93,F115,D$93-SUM(E$100:E115))</f>
        <v>7285162.8817693731</v>
      </c>
      <c r="E116" s="629">
        <f t="shared" si="25"/>
        <v>473373.92857142858</v>
      </c>
      <c r="F116" s="511">
        <f t="shared" si="26"/>
        <v>6811788.9531979449</v>
      </c>
      <c r="G116" s="511">
        <f t="shared" si="27"/>
        <v>7048475.9174836595</v>
      </c>
      <c r="H116" s="646">
        <f t="shared" si="29"/>
        <v>1223426.9133587643</v>
      </c>
      <c r="I116" s="630">
        <f t="shared" si="28"/>
        <v>1223426.9133587643</v>
      </c>
      <c r="J116" s="505">
        <f t="shared" si="19"/>
        <v>0</v>
      </c>
      <c r="K116" s="505"/>
      <c r="L116" s="513"/>
      <c r="M116" s="505">
        <f t="shared" si="15"/>
        <v>0</v>
      </c>
      <c r="N116" s="513"/>
      <c r="O116" s="505">
        <f t="shared" si="16"/>
        <v>0</v>
      </c>
      <c r="P116" s="505">
        <f t="shared" si="17"/>
        <v>0</v>
      </c>
      <c r="Q116" s="244"/>
      <c r="R116" s="244"/>
      <c r="S116" s="244"/>
      <c r="T116" s="244"/>
      <c r="U116" s="244"/>
    </row>
    <row r="117" spans="2:21" ht="12.5">
      <c r="B117" s="145" t="str">
        <f t="shared" si="18"/>
        <v/>
      </c>
      <c r="C117" s="496">
        <f>IF(D94="","-",+C116+1)</f>
        <v>2031</v>
      </c>
      <c r="D117" s="350">
        <f>IF(F116+SUM(E$100:E116)=D$93,F116,D$93-SUM(E$100:E116))</f>
        <v>6811788.9531979449</v>
      </c>
      <c r="E117" s="629">
        <f t="shared" si="25"/>
        <v>473373.92857142858</v>
      </c>
      <c r="F117" s="511">
        <f t="shared" si="26"/>
        <v>6338415.0246265167</v>
      </c>
      <c r="G117" s="511">
        <f t="shared" si="27"/>
        <v>6575101.9889122304</v>
      </c>
      <c r="H117" s="646">
        <f t="shared" si="29"/>
        <v>1173053.5372981613</v>
      </c>
      <c r="I117" s="630">
        <f t="shared" si="28"/>
        <v>1173053.5372981613</v>
      </c>
      <c r="J117" s="505">
        <f t="shared" si="19"/>
        <v>0</v>
      </c>
      <c r="K117" s="505"/>
      <c r="L117" s="513"/>
      <c r="M117" s="505">
        <f t="shared" si="15"/>
        <v>0</v>
      </c>
      <c r="N117" s="513"/>
      <c r="O117" s="505">
        <f t="shared" si="16"/>
        <v>0</v>
      </c>
      <c r="P117" s="505">
        <f t="shared" si="17"/>
        <v>0</v>
      </c>
      <c r="Q117" s="244"/>
      <c r="R117" s="244"/>
      <c r="S117" s="244"/>
      <c r="T117" s="244"/>
      <c r="U117" s="244"/>
    </row>
    <row r="118" spans="2:21" ht="12.5">
      <c r="B118" s="145" t="str">
        <f t="shared" si="18"/>
        <v/>
      </c>
      <c r="C118" s="496">
        <f>IF(D94="","-",+C117+1)</f>
        <v>2032</v>
      </c>
      <c r="D118" s="350">
        <f>IF(F117+SUM(E$100:E117)=D$93,F117,D$93-SUM(E$100:E117))</f>
        <v>6338415.0246265167</v>
      </c>
      <c r="E118" s="629">
        <f t="shared" si="25"/>
        <v>473373.92857142858</v>
      </c>
      <c r="F118" s="511">
        <f t="shared" si="26"/>
        <v>5865041.0960550886</v>
      </c>
      <c r="G118" s="511">
        <f t="shared" si="27"/>
        <v>6101728.0603408031</v>
      </c>
      <c r="H118" s="646">
        <f t="shared" si="29"/>
        <v>1122680.1612375586</v>
      </c>
      <c r="I118" s="630">
        <f t="shared" si="28"/>
        <v>1122680.1612375586</v>
      </c>
      <c r="J118" s="505">
        <f t="shared" si="19"/>
        <v>0</v>
      </c>
      <c r="K118" s="505"/>
      <c r="L118" s="513"/>
      <c r="M118" s="505">
        <f t="shared" si="15"/>
        <v>0</v>
      </c>
      <c r="N118" s="513"/>
      <c r="O118" s="505">
        <f t="shared" si="16"/>
        <v>0</v>
      </c>
      <c r="P118" s="505">
        <f t="shared" si="17"/>
        <v>0</v>
      </c>
      <c r="Q118" s="244"/>
      <c r="R118" s="244"/>
      <c r="S118" s="244"/>
      <c r="T118" s="244"/>
      <c r="U118" s="244"/>
    </row>
    <row r="119" spans="2:21" ht="12.5">
      <c r="B119" s="145" t="str">
        <f t="shared" si="18"/>
        <v/>
      </c>
      <c r="C119" s="496">
        <f>IF(D94="","-",+C118+1)</f>
        <v>2033</v>
      </c>
      <c r="D119" s="350">
        <f>IF(F118+SUM(E$100:E118)=D$93,F118,D$93-SUM(E$100:E118))</f>
        <v>5865041.0960550886</v>
      </c>
      <c r="E119" s="629">
        <f t="shared" si="25"/>
        <v>473373.92857142858</v>
      </c>
      <c r="F119" s="511">
        <f t="shared" si="26"/>
        <v>5391667.1674836604</v>
      </c>
      <c r="G119" s="511">
        <f t="shared" si="27"/>
        <v>5628354.131769374</v>
      </c>
      <c r="H119" s="646">
        <f t="shared" si="29"/>
        <v>1072306.7851769556</v>
      </c>
      <c r="I119" s="630">
        <f t="shared" si="28"/>
        <v>1072306.7851769556</v>
      </c>
      <c r="J119" s="505">
        <f t="shared" si="19"/>
        <v>0</v>
      </c>
      <c r="K119" s="505"/>
      <c r="L119" s="513"/>
      <c r="M119" s="505">
        <f t="shared" si="15"/>
        <v>0</v>
      </c>
      <c r="N119" s="513"/>
      <c r="O119" s="505">
        <f t="shared" si="16"/>
        <v>0</v>
      </c>
      <c r="P119" s="505">
        <f t="shared" si="17"/>
        <v>0</v>
      </c>
      <c r="Q119" s="244"/>
      <c r="R119" s="244"/>
      <c r="S119" s="244"/>
      <c r="T119" s="244"/>
      <c r="U119" s="244"/>
    </row>
    <row r="120" spans="2:21" ht="12.5">
      <c r="B120" s="145" t="str">
        <f t="shared" si="18"/>
        <v/>
      </c>
      <c r="C120" s="496">
        <f>IF(D94="","-",+C119+1)</f>
        <v>2034</v>
      </c>
      <c r="D120" s="350">
        <f>IF(F119+SUM(E$100:E119)=D$93,F119,D$93-SUM(E$100:E119))</f>
        <v>5391667.1674836604</v>
      </c>
      <c r="E120" s="629">
        <f t="shared" si="25"/>
        <v>473373.92857142858</v>
      </c>
      <c r="F120" s="511">
        <f t="shared" si="26"/>
        <v>4918293.2389122322</v>
      </c>
      <c r="G120" s="511">
        <f t="shared" si="27"/>
        <v>5154980.2031979468</v>
      </c>
      <c r="H120" s="646">
        <f t="shared" si="29"/>
        <v>1021933.4091163529</v>
      </c>
      <c r="I120" s="630">
        <f t="shared" si="28"/>
        <v>1021933.4091163529</v>
      </c>
      <c r="J120" s="505">
        <f t="shared" si="19"/>
        <v>0</v>
      </c>
      <c r="K120" s="505"/>
      <c r="L120" s="513"/>
      <c r="M120" s="505">
        <f t="shared" si="15"/>
        <v>0</v>
      </c>
      <c r="N120" s="513"/>
      <c r="O120" s="505">
        <f t="shared" si="16"/>
        <v>0</v>
      </c>
      <c r="P120" s="505">
        <f t="shared" si="17"/>
        <v>0</v>
      </c>
      <c r="Q120" s="244"/>
      <c r="R120" s="244"/>
      <c r="S120" s="244"/>
      <c r="T120" s="244"/>
      <c r="U120" s="244"/>
    </row>
    <row r="121" spans="2:21" ht="12.5">
      <c r="B121" s="145" t="str">
        <f t="shared" si="18"/>
        <v/>
      </c>
      <c r="C121" s="496">
        <f>IF(D94="","-",+C120+1)</f>
        <v>2035</v>
      </c>
      <c r="D121" s="350">
        <f>IF(F120+SUM(E$100:E120)=D$93,F120,D$93-SUM(E$100:E120))</f>
        <v>4918293.2389122322</v>
      </c>
      <c r="E121" s="629">
        <f t="shared" si="25"/>
        <v>473373.92857142858</v>
      </c>
      <c r="F121" s="511">
        <f t="shared" si="26"/>
        <v>4444919.310340804</v>
      </c>
      <c r="G121" s="511">
        <f t="shared" si="27"/>
        <v>4681606.2746265177</v>
      </c>
      <c r="H121" s="646">
        <f t="shared" si="29"/>
        <v>971560.03305575007</v>
      </c>
      <c r="I121" s="630">
        <f t="shared" si="28"/>
        <v>971560.03305575007</v>
      </c>
      <c r="J121" s="505">
        <f t="shared" si="19"/>
        <v>0</v>
      </c>
      <c r="K121" s="505"/>
      <c r="L121" s="513"/>
      <c r="M121" s="505">
        <f t="shared" si="15"/>
        <v>0</v>
      </c>
      <c r="N121" s="513"/>
      <c r="O121" s="505">
        <f t="shared" si="16"/>
        <v>0</v>
      </c>
      <c r="P121" s="505">
        <f t="shared" si="17"/>
        <v>0</v>
      </c>
      <c r="Q121" s="244"/>
      <c r="R121" s="244"/>
      <c r="S121" s="244"/>
      <c r="T121" s="244"/>
      <c r="U121" s="244"/>
    </row>
    <row r="122" spans="2:21" ht="12.5">
      <c r="B122" s="145" t="str">
        <f t="shared" si="18"/>
        <v/>
      </c>
      <c r="C122" s="496">
        <f>IF(D94="","-",+C121+1)</f>
        <v>2036</v>
      </c>
      <c r="D122" s="350">
        <f>IF(F121+SUM(E$100:E121)=D$93,F121,D$93-SUM(E$100:E121))</f>
        <v>4444919.310340804</v>
      </c>
      <c r="E122" s="629">
        <f t="shared" si="25"/>
        <v>473373.92857142858</v>
      </c>
      <c r="F122" s="511">
        <f t="shared" si="26"/>
        <v>3971545.3817693754</v>
      </c>
      <c r="G122" s="511">
        <f t="shared" si="27"/>
        <v>4208232.3460550895</v>
      </c>
      <c r="H122" s="646">
        <f t="shared" si="29"/>
        <v>921186.65699514723</v>
      </c>
      <c r="I122" s="630">
        <f t="shared" si="28"/>
        <v>921186.65699514723</v>
      </c>
      <c r="J122" s="505">
        <f t="shared" si="19"/>
        <v>0</v>
      </c>
      <c r="K122" s="505"/>
      <c r="L122" s="513"/>
      <c r="M122" s="505">
        <f t="shared" si="15"/>
        <v>0</v>
      </c>
      <c r="N122" s="513"/>
      <c r="O122" s="505">
        <f t="shared" si="16"/>
        <v>0</v>
      </c>
      <c r="P122" s="505">
        <f t="shared" si="17"/>
        <v>0</v>
      </c>
      <c r="Q122" s="244"/>
      <c r="R122" s="244"/>
      <c r="S122" s="244"/>
      <c r="T122" s="244"/>
      <c r="U122" s="244"/>
    </row>
    <row r="123" spans="2:21" ht="12.5">
      <c r="B123" s="145" t="str">
        <f t="shared" si="18"/>
        <v/>
      </c>
      <c r="C123" s="496">
        <f>IF(D94="","-",+C122+1)</f>
        <v>2037</v>
      </c>
      <c r="D123" s="350">
        <f>IF(F122+SUM(E$100:E122)=D$93,F122,D$93-SUM(E$100:E122))</f>
        <v>3971545.3817693754</v>
      </c>
      <c r="E123" s="629">
        <f t="shared" si="25"/>
        <v>473373.92857142858</v>
      </c>
      <c r="F123" s="511">
        <f t="shared" si="26"/>
        <v>3498171.4531979468</v>
      </c>
      <c r="G123" s="511">
        <f t="shared" si="27"/>
        <v>3734858.4174836613</v>
      </c>
      <c r="H123" s="646">
        <f t="shared" si="29"/>
        <v>870813.28093454451</v>
      </c>
      <c r="I123" s="630">
        <f t="shared" si="28"/>
        <v>870813.28093454451</v>
      </c>
      <c r="J123" s="505">
        <f t="shared" si="19"/>
        <v>0</v>
      </c>
      <c r="K123" s="505"/>
      <c r="L123" s="513"/>
      <c r="M123" s="505">
        <f t="shared" si="15"/>
        <v>0</v>
      </c>
      <c r="N123" s="513"/>
      <c r="O123" s="505">
        <f t="shared" si="16"/>
        <v>0</v>
      </c>
      <c r="P123" s="505">
        <f t="shared" si="17"/>
        <v>0</v>
      </c>
      <c r="Q123" s="244"/>
      <c r="R123" s="244"/>
      <c r="S123" s="244"/>
      <c r="T123" s="244"/>
      <c r="U123" s="244"/>
    </row>
    <row r="124" spans="2:21" ht="12.5">
      <c r="B124" s="145" t="str">
        <f t="shared" si="18"/>
        <v/>
      </c>
      <c r="C124" s="496">
        <f>IF(D94="","-",+C123+1)</f>
        <v>2038</v>
      </c>
      <c r="D124" s="350">
        <f>IF(F123+SUM(E$100:E123)=D$93,F123,D$93-SUM(E$100:E123))</f>
        <v>3498171.4531979468</v>
      </c>
      <c r="E124" s="629">
        <f t="shared" si="25"/>
        <v>473373.92857142858</v>
      </c>
      <c r="F124" s="511">
        <f t="shared" si="26"/>
        <v>3024797.5246265181</v>
      </c>
      <c r="G124" s="511">
        <f t="shared" si="27"/>
        <v>3261484.4889122322</v>
      </c>
      <c r="H124" s="646">
        <f t="shared" si="29"/>
        <v>820439.90487394156</v>
      </c>
      <c r="I124" s="630">
        <f t="shared" si="28"/>
        <v>820439.90487394156</v>
      </c>
      <c r="J124" s="505">
        <f t="shared" si="19"/>
        <v>0</v>
      </c>
      <c r="K124" s="505"/>
      <c r="L124" s="513"/>
      <c r="M124" s="505">
        <f t="shared" si="15"/>
        <v>0</v>
      </c>
      <c r="N124" s="513"/>
      <c r="O124" s="505">
        <f t="shared" si="16"/>
        <v>0</v>
      </c>
      <c r="P124" s="505">
        <f t="shared" si="17"/>
        <v>0</v>
      </c>
      <c r="Q124" s="244"/>
      <c r="R124" s="244"/>
      <c r="S124" s="244"/>
      <c r="T124" s="244"/>
      <c r="U124" s="244"/>
    </row>
    <row r="125" spans="2:21" ht="12.5">
      <c r="B125" s="145" t="str">
        <f t="shared" si="18"/>
        <v/>
      </c>
      <c r="C125" s="496">
        <f>IF(D94="","-",+C124+1)</f>
        <v>2039</v>
      </c>
      <c r="D125" s="350">
        <f>IF(F124+SUM(E$100:E124)=D$93,F124,D$93-SUM(E$100:E124))</f>
        <v>3024797.5246265181</v>
      </c>
      <c r="E125" s="629">
        <f t="shared" si="25"/>
        <v>473373.92857142858</v>
      </c>
      <c r="F125" s="511">
        <f t="shared" si="26"/>
        <v>2551423.5960550895</v>
      </c>
      <c r="G125" s="511">
        <f t="shared" si="27"/>
        <v>2788110.560340804</v>
      </c>
      <c r="H125" s="646">
        <f t="shared" si="29"/>
        <v>770066.52881333884</v>
      </c>
      <c r="I125" s="630">
        <f t="shared" si="28"/>
        <v>770066.52881333884</v>
      </c>
      <c r="J125" s="505">
        <f t="shared" si="19"/>
        <v>0</v>
      </c>
      <c r="K125" s="505"/>
      <c r="L125" s="513"/>
      <c r="M125" s="505">
        <f t="shared" si="15"/>
        <v>0</v>
      </c>
      <c r="N125" s="513"/>
      <c r="O125" s="505">
        <f t="shared" si="16"/>
        <v>0</v>
      </c>
      <c r="P125" s="505">
        <f t="shared" si="17"/>
        <v>0</v>
      </c>
      <c r="Q125" s="244"/>
      <c r="R125" s="244"/>
      <c r="S125" s="244"/>
      <c r="T125" s="244"/>
      <c r="U125" s="244"/>
    </row>
    <row r="126" spans="2:21" ht="12.5">
      <c r="B126" s="145" t="str">
        <f t="shared" si="18"/>
        <v/>
      </c>
      <c r="C126" s="496">
        <f>IF(D94="","-",+C125+1)</f>
        <v>2040</v>
      </c>
      <c r="D126" s="350">
        <f>IF(F125+SUM(E$100:E125)=D$93,F125,D$93-SUM(E$100:E125))</f>
        <v>2551423.5960550895</v>
      </c>
      <c r="E126" s="629">
        <f t="shared" si="25"/>
        <v>473373.92857142858</v>
      </c>
      <c r="F126" s="511">
        <f t="shared" si="26"/>
        <v>2078049.6674836609</v>
      </c>
      <c r="G126" s="511">
        <f t="shared" si="27"/>
        <v>2314736.6317693749</v>
      </c>
      <c r="H126" s="646">
        <f t="shared" si="29"/>
        <v>719693.15275273588</v>
      </c>
      <c r="I126" s="630">
        <f t="shared" si="28"/>
        <v>719693.15275273588</v>
      </c>
      <c r="J126" s="505">
        <f t="shared" si="19"/>
        <v>0</v>
      </c>
      <c r="K126" s="505"/>
      <c r="L126" s="513"/>
      <c r="M126" s="505">
        <f t="shared" si="15"/>
        <v>0</v>
      </c>
      <c r="N126" s="513"/>
      <c r="O126" s="505">
        <f t="shared" si="16"/>
        <v>0</v>
      </c>
      <c r="P126" s="505">
        <f t="shared" si="17"/>
        <v>0</v>
      </c>
      <c r="Q126" s="244"/>
      <c r="R126" s="244"/>
      <c r="S126" s="244"/>
      <c r="T126" s="244"/>
      <c r="U126" s="244"/>
    </row>
    <row r="127" spans="2:21" ht="12.5">
      <c r="B127" s="145" t="str">
        <f t="shared" si="18"/>
        <v/>
      </c>
      <c r="C127" s="496">
        <f>IF(D94="","-",+C126+1)</f>
        <v>2041</v>
      </c>
      <c r="D127" s="350">
        <f>IF(F126+SUM(E$100:E126)=D$93,F126,D$93-SUM(E$100:E126))</f>
        <v>2078049.6674836609</v>
      </c>
      <c r="E127" s="629">
        <f t="shared" si="25"/>
        <v>473373.92857142858</v>
      </c>
      <c r="F127" s="511">
        <f t="shared" si="26"/>
        <v>1604675.7389122322</v>
      </c>
      <c r="G127" s="511">
        <f t="shared" si="27"/>
        <v>1841362.7031979465</v>
      </c>
      <c r="H127" s="646">
        <f t="shared" si="29"/>
        <v>669319.77669213305</v>
      </c>
      <c r="I127" s="630">
        <f t="shared" si="28"/>
        <v>669319.77669213305</v>
      </c>
      <c r="J127" s="505">
        <f t="shared" si="19"/>
        <v>0</v>
      </c>
      <c r="K127" s="505"/>
      <c r="L127" s="513"/>
      <c r="M127" s="505">
        <f t="shared" si="15"/>
        <v>0</v>
      </c>
      <c r="N127" s="513"/>
      <c r="O127" s="505">
        <f t="shared" si="16"/>
        <v>0</v>
      </c>
      <c r="P127" s="505">
        <f t="shared" si="17"/>
        <v>0</v>
      </c>
      <c r="Q127" s="244"/>
      <c r="R127" s="244"/>
      <c r="S127" s="244"/>
      <c r="T127" s="244"/>
      <c r="U127" s="244"/>
    </row>
    <row r="128" spans="2:21" ht="12.5">
      <c r="B128" s="145" t="str">
        <f t="shared" si="18"/>
        <v/>
      </c>
      <c r="C128" s="496">
        <f>IF(D94="","-",+C127+1)</f>
        <v>2042</v>
      </c>
      <c r="D128" s="350">
        <f>IF(F127+SUM(E$100:E127)=D$93,F127,D$93-SUM(E$100:E127))</f>
        <v>1604675.7389122322</v>
      </c>
      <c r="E128" s="629">
        <f t="shared" si="25"/>
        <v>473373.92857142858</v>
      </c>
      <c r="F128" s="511">
        <f t="shared" si="26"/>
        <v>1131301.8103408036</v>
      </c>
      <c r="G128" s="511">
        <f t="shared" si="27"/>
        <v>1367988.7746265179</v>
      </c>
      <c r="H128" s="646">
        <f t="shared" si="29"/>
        <v>618946.40063153021</v>
      </c>
      <c r="I128" s="630">
        <f t="shared" si="28"/>
        <v>618946.40063153021</v>
      </c>
      <c r="J128" s="505">
        <f t="shared" si="19"/>
        <v>0</v>
      </c>
      <c r="K128" s="505"/>
      <c r="L128" s="513"/>
      <c r="M128" s="505">
        <f t="shared" si="15"/>
        <v>0</v>
      </c>
      <c r="N128" s="513"/>
      <c r="O128" s="505">
        <f t="shared" si="16"/>
        <v>0</v>
      </c>
      <c r="P128" s="505">
        <f t="shared" si="17"/>
        <v>0</v>
      </c>
      <c r="Q128" s="244"/>
      <c r="R128" s="244"/>
      <c r="S128" s="244"/>
      <c r="T128" s="244"/>
      <c r="U128" s="244"/>
    </row>
    <row r="129" spans="2:21" ht="12.5">
      <c r="B129" s="145" t="str">
        <f t="shared" si="18"/>
        <v/>
      </c>
      <c r="C129" s="496">
        <f>IF(D94="","-",+C128+1)</f>
        <v>2043</v>
      </c>
      <c r="D129" s="350">
        <f>IF(F128+SUM(E$100:E128)=D$93,F128,D$93-SUM(E$100:E128))</f>
        <v>1131301.8103408036</v>
      </c>
      <c r="E129" s="629">
        <f t="shared" si="25"/>
        <v>473373.92857142858</v>
      </c>
      <c r="F129" s="511">
        <f t="shared" si="26"/>
        <v>657927.88176937494</v>
      </c>
      <c r="G129" s="511">
        <f t="shared" si="27"/>
        <v>894614.84605508926</v>
      </c>
      <c r="H129" s="646">
        <f t="shared" si="29"/>
        <v>568573.02457092737</v>
      </c>
      <c r="I129" s="630">
        <f t="shared" si="28"/>
        <v>568573.02457092737</v>
      </c>
      <c r="J129" s="505">
        <f t="shared" si="19"/>
        <v>0</v>
      </c>
      <c r="K129" s="505"/>
      <c r="L129" s="513"/>
      <c r="M129" s="505">
        <f t="shared" si="15"/>
        <v>0</v>
      </c>
      <c r="N129" s="513"/>
      <c r="O129" s="505">
        <f t="shared" si="16"/>
        <v>0</v>
      </c>
      <c r="P129" s="505">
        <f t="shared" si="17"/>
        <v>0</v>
      </c>
      <c r="Q129" s="244"/>
      <c r="R129" s="244"/>
      <c r="S129" s="244"/>
      <c r="T129" s="244"/>
      <c r="U129" s="244"/>
    </row>
    <row r="130" spans="2:21" ht="12.5">
      <c r="B130" s="145" t="str">
        <f t="shared" si="18"/>
        <v/>
      </c>
      <c r="C130" s="496">
        <f>IF(D94="","-",+C129+1)</f>
        <v>2044</v>
      </c>
      <c r="D130" s="350">
        <f>IF(F129+SUM(E$100:E129)=D$93,F129,D$93-SUM(E$100:E129))</f>
        <v>657927.88176937494</v>
      </c>
      <c r="E130" s="629">
        <f t="shared" si="25"/>
        <v>473373.92857142858</v>
      </c>
      <c r="F130" s="511">
        <f t="shared" si="26"/>
        <v>184553.95319794636</v>
      </c>
      <c r="G130" s="511">
        <f t="shared" si="27"/>
        <v>421240.91748366063</v>
      </c>
      <c r="H130" s="646">
        <f t="shared" si="29"/>
        <v>518199.64851032454</v>
      </c>
      <c r="I130" s="630">
        <f t="shared" si="28"/>
        <v>518199.64851032454</v>
      </c>
      <c r="J130" s="505">
        <f t="shared" si="19"/>
        <v>0</v>
      </c>
      <c r="K130" s="505"/>
      <c r="L130" s="513"/>
      <c r="M130" s="505">
        <f t="shared" si="15"/>
        <v>0</v>
      </c>
      <c r="N130" s="513"/>
      <c r="O130" s="505">
        <f t="shared" si="16"/>
        <v>0</v>
      </c>
      <c r="P130" s="505">
        <f t="shared" si="17"/>
        <v>0</v>
      </c>
      <c r="Q130" s="244"/>
      <c r="R130" s="244"/>
      <c r="S130" s="244"/>
      <c r="T130" s="244"/>
      <c r="U130" s="244"/>
    </row>
    <row r="131" spans="2:21" ht="12.5">
      <c r="B131" s="145" t="str">
        <f t="shared" si="18"/>
        <v/>
      </c>
      <c r="C131" s="496">
        <f>IF(D94="","-",+C130+1)</f>
        <v>2045</v>
      </c>
      <c r="D131" s="350">
        <f>IF(F130+SUM(E$100:E130)=D$93,F130,D$93-SUM(E$100:E130))</f>
        <v>184553.95319794636</v>
      </c>
      <c r="E131" s="629">
        <f t="shared" si="25"/>
        <v>184553.95319794636</v>
      </c>
      <c r="F131" s="511">
        <f t="shared" si="26"/>
        <v>0</v>
      </c>
      <c r="G131" s="511">
        <f t="shared" si="27"/>
        <v>92276.976598973182</v>
      </c>
      <c r="H131" s="646">
        <f t="shared" si="29"/>
        <v>194373.46915224363</v>
      </c>
      <c r="I131" s="630">
        <f t="shared" si="28"/>
        <v>194373.46915224363</v>
      </c>
      <c r="J131" s="505">
        <f t="shared" si="19"/>
        <v>0</v>
      </c>
      <c r="K131" s="505"/>
      <c r="L131" s="513"/>
      <c r="M131" s="505">
        <f t="shared" si="15"/>
        <v>0</v>
      </c>
      <c r="N131" s="513"/>
      <c r="O131" s="505">
        <f t="shared" si="16"/>
        <v>0</v>
      </c>
      <c r="P131" s="505">
        <f t="shared" si="17"/>
        <v>0</v>
      </c>
      <c r="Q131" s="244"/>
      <c r="R131" s="244"/>
      <c r="S131" s="244"/>
      <c r="T131" s="244"/>
      <c r="U131" s="244"/>
    </row>
    <row r="132" spans="2:21" ht="12.5">
      <c r="B132" s="145" t="str">
        <f t="shared" si="18"/>
        <v/>
      </c>
      <c r="C132" s="496">
        <f>IF(D94="","-",+C131+1)</f>
        <v>2046</v>
      </c>
      <c r="D132" s="350">
        <f>IF(F131+SUM(E$100:E131)=D$93,F131,D$93-SUM(E$100:E131))</f>
        <v>0</v>
      </c>
      <c r="E132" s="629">
        <f t="shared" si="25"/>
        <v>0</v>
      </c>
      <c r="F132" s="511">
        <f t="shared" si="26"/>
        <v>0</v>
      </c>
      <c r="G132" s="511">
        <f t="shared" si="27"/>
        <v>0</v>
      </c>
      <c r="H132" s="646">
        <f t="shared" si="29"/>
        <v>0</v>
      </c>
      <c r="I132" s="630">
        <f t="shared" si="28"/>
        <v>0</v>
      </c>
      <c r="J132" s="505">
        <f t="shared" si="19"/>
        <v>0</v>
      </c>
      <c r="K132" s="505"/>
      <c r="L132" s="513"/>
      <c r="M132" s="505">
        <f t="shared" ref="M132:M155" si="30">IF(L542&lt;&gt;0,+H542-L542,0)</f>
        <v>0</v>
      </c>
      <c r="N132" s="513"/>
      <c r="O132" s="505">
        <f t="shared" ref="O132:O155" si="31">IF(N542&lt;&gt;0,+I542-N542,0)</f>
        <v>0</v>
      </c>
      <c r="P132" s="505">
        <f t="shared" ref="P132:P155" si="32">+O542-M542</f>
        <v>0</v>
      </c>
      <c r="Q132" s="244"/>
      <c r="R132" s="244"/>
      <c r="S132" s="244"/>
      <c r="T132" s="244"/>
      <c r="U132" s="244"/>
    </row>
    <row r="133" spans="2:21" ht="12.5">
      <c r="B133" s="145" t="str">
        <f t="shared" si="18"/>
        <v/>
      </c>
      <c r="C133" s="496">
        <f>IF(D94="","-",+C132+1)</f>
        <v>2047</v>
      </c>
      <c r="D133" s="350">
        <f>IF(F132+SUM(E$100:E132)=D$93,F132,D$93-SUM(E$100:E132))</f>
        <v>0</v>
      </c>
      <c r="E133" s="629">
        <f t="shared" si="25"/>
        <v>0</v>
      </c>
      <c r="F133" s="511">
        <f t="shared" si="26"/>
        <v>0</v>
      </c>
      <c r="G133" s="511">
        <f t="shared" si="27"/>
        <v>0</v>
      </c>
      <c r="H133" s="646">
        <f t="shared" si="29"/>
        <v>0</v>
      </c>
      <c r="I133" s="630">
        <f t="shared" si="28"/>
        <v>0</v>
      </c>
      <c r="J133" s="505">
        <f t="shared" si="19"/>
        <v>0</v>
      </c>
      <c r="K133" s="505"/>
      <c r="L133" s="513"/>
      <c r="M133" s="505">
        <f t="shared" si="30"/>
        <v>0</v>
      </c>
      <c r="N133" s="513"/>
      <c r="O133" s="505">
        <f t="shared" si="31"/>
        <v>0</v>
      </c>
      <c r="P133" s="505">
        <f t="shared" si="32"/>
        <v>0</v>
      </c>
      <c r="Q133" s="244"/>
      <c r="R133" s="244"/>
      <c r="S133" s="244"/>
      <c r="T133" s="244"/>
      <c r="U133" s="244"/>
    </row>
    <row r="134" spans="2:21" ht="12.5">
      <c r="B134" s="145" t="str">
        <f t="shared" si="18"/>
        <v/>
      </c>
      <c r="C134" s="496">
        <f>IF(D94="","-",+C133+1)</f>
        <v>2048</v>
      </c>
      <c r="D134" s="350">
        <f>IF(F133+SUM(E$100:E133)=D$93,F133,D$93-SUM(E$100:E133))</f>
        <v>0</v>
      </c>
      <c r="E134" s="629">
        <f t="shared" si="25"/>
        <v>0</v>
      </c>
      <c r="F134" s="511">
        <f t="shared" si="26"/>
        <v>0</v>
      </c>
      <c r="G134" s="511">
        <f t="shared" si="27"/>
        <v>0</v>
      </c>
      <c r="H134" s="646">
        <f t="shared" si="29"/>
        <v>0</v>
      </c>
      <c r="I134" s="630">
        <f t="shared" si="28"/>
        <v>0</v>
      </c>
      <c r="J134" s="505">
        <f t="shared" si="19"/>
        <v>0</v>
      </c>
      <c r="K134" s="505"/>
      <c r="L134" s="513"/>
      <c r="M134" s="505">
        <f t="shared" si="30"/>
        <v>0</v>
      </c>
      <c r="N134" s="513"/>
      <c r="O134" s="505">
        <f t="shared" si="31"/>
        <v>0</v>
      </c>
      <c r="P134" s="505">
        <f t="shared" si="32"/>
        <v>0</v>
      </c>
      <c r="Q134" s="244"/>
      <c r="R134" s="244"/>
      <c r="S134" s="244"/>
      <c r="T134" s="244"/>
      <c r="U134" s="244"/>
    </row>
    <row r="135" spans="2:21" ht="12.5">
      <c r="B135" s="145" t="str">
        <f t="shared" si="18"/>
        <v/>
      </c>
      <c r="C135" s="496">
        <f>IF(D94="","-",+C134+1)</f>
        <v>2049</v>
      </c>
      <c r="D135" s="350">
        <f>IF(F134+SUM(E$100:E134)=D$93,F134,D$93-SUM(E$100:E134))</f>
        <v>0</v>
      </c>
      <c r="E135" s="629">
        <f t="shared" si="25"/>
        <v>0</v>
      </c>
      <c r="F135" s="511">
        <f t="shared" si="26"/>
        <v>0</v>
      </c>
      <c r="G135" s="511">
        <f t="shared" si="27"/>
        <v>0</v>
      </c>
      <c r="H135" s="646">
        <f t="shared" si="29"/>
        <v>0</v>
      </c>
      <c r="I135" s="630">
        <f t="shared" si="28"/>
        <v>0</v>
      </c>
      <c r="J135" s="505">
        <f t="shared" si="19"/>
        <v>0</v>
      </c>
      <c r="K135" s="505"/>
      <c r="L135" s="513"/>
      <c r="M135" s="505">
        <f t="shared" si="30"/>
        <v>0</v>
      </c>
      <c r="N135" s="513"/>
      <c r="O135" s="505">
        <f t="shared" si="31"/>
        <v>0</v>
      </c>
      <c r="P135" s="505">
        <f t="shared" si="32"/>
        <v>0</v>
      </c>
      <c r="Q135" s="244"/>
      <c r="R135" s="244"/>
      <c r="S135" s="244"/>
      <c r="T135" s="244"/>
      <c r="U135" s="244"/>
    </row>
    <row r="136" spans="2:21" ht="12.5">
      <c r="B136" s="145" t="str">
        <f t="shared" si="18"/>
        <v/>
      </c>
      <c r="C136" s="496">
        <f>IF(D94="","-",+C135+1)</f>
        <v>2050</v>
      </c>
      <c r="D136" s="350">
        <f>IF(F135+SUM(E$100:E135)=D$93,F135,D$93-SUM(E$100:E135))</f>
        <v>0</v>
      </c>
      <c r="E136" s="629">
        <f t="shared" si="25"/>
        <v>0</v>
      </c>
      <c r="F136" s="511">
        <f t="shared" si="26"/>
        <v>0</v>
      </c>
      <c r="G136" s="511">
        <f t="shared" si="27"/>
        <v>0</v>
      </c>
      <c r="H136" s="646">
        <f t="shared" si="29"/>
        <v>0</v>
      </c>
      <c r="I136" s="630">
        <f t="shared" si="28"/>
        <v>0</v>
      </c>
      <c r="J136" s="505">
        <f t="shared" si="19"/>
        <v>0</v>
      </c>
      <c r="K136" s="505"/>
      <c r="L136" s="513"/>
      <c r="M136" s="505">
        <f t="shared" si="30"/>
        <v>0</v>
      </c>
      <c r="N136" s="513"/>
      <c r="O136" s="505">
        <f t="shared" si="31"/>
        <v>0</v>
      </c>
      <c r="P136" s="505">
        <f t="shared" si="32"/>
        <v>0</v>
      </c>
      <c r="Q136" s="244"/>
      <c r="R136" s="244"/>
      <c r="S136" s="244"/>
      <c r="T136" s="244"/>
      <c r="U136" s="244"/>
    </row>
    <row r="137" spans="2:21" ht="12.5">
      <c r="B137" s="145" t="str">
        <f t="shared" si="18"/>
        <v/>
      </c>
      <c r="C137" s="496">
        <f>IF(D94="","-",+C136+1)</f>
        <v>2051</v>
      </c>
      <c r="D137" s="350">
        <f>IF(F136+SUM(E$100:E136)=D$93,F136,D$93-SUM(E$100:E136))</f>
        <v>0</v>
      </c>
      <c r="E137" s="629">
        <f t="shared" si="25"/>
        <v>0</v>
      </c>
      <c r="F137" s="511">
        <f t="shared" si="26"/>
        <v>0</v>
      </c>
      <c r="G137" s="511">
        <f t="shared" si="27"/>
        <v>0</v>
      </c>
      <c r="H137" s="646">
        <f t="shared" si="29"/>
        <v>0</v>
      </c>
      <c r="I137" s="630">
        <f t="shared" si="28"/>
        <v>0</v>
      </c>
      <c r="J137" s="505">
        <f t="shared" si="19"/>
        <v>0</v>
      </c>
      <c r="K137" s="505"/>
      <c r="L137" s="513"/>
      <c r="M137" s="505">
        <f t="shared" si="30"/>
        <v>0</v>
      </c>
      <c r="N137" s="513"/>
      <c r="O137" s="505">
        <f t="shared" si="31"/>
        <v>0</v>
      </c>
      <c r="P137" s="505">
        <f t="shared" si="32"/>
        <v>0</v>
      </c>
      <c r="Q137" s="244"/>
      <c r="R137" s="244"/>
      <c r="S137" s="244"/>
      <c r="T137" s="244"/>
      <c r="U137" s="244"/>
    </row>
    <row r="138" spans="2:21" ht="12.5">
      <c r="B138" s="145" t="str">
        <f t="shared" si="18"/>
        <v/>
      </c>
      <c r="C138" s="496">
        <f>IF(D94="","-",+C137+1)</f>
        <v>2052</v>
      </c>
      <c r="D138" s="350">
        <f>IF(F137+SUM(E$100:E137)=D$93,F137,D$93-SUM(E$100:E137))</f>
        <v>0</v>
      </c>
      <c r="E138" s="629">
        <f t="shared" si="25"/>
        <v>0</v>
      </c>
      <c r="F138" s="511">
        <f t="shared" si="26"/>
        <v>0</v>
      </c>
      <c r="G138" s="511">
        <f t="shared" si="27"/>
        <v>0</v>
      </c>
      <c r="H138" s="646">
        <f t="shared" si="29"/>
        <v>0</v>
      </c>
      <c r="I138" s="630">
        <f t="shared" si="28"/>
        <v>0</v>
      </c>
      <c r="J138" s="505">
        <f t="shared" si="19"/>
        <v>0</v>
      </c>
      <c r="K138" s="505"/>
      <c r="L138" s="513"/>
      <c r="M138" s="505">
        <f t="shared" si="30"/>
        <v>0</v>
      </c>
      <c r="N138" s="513"/>
      <c r="O138" s="505">
        <f t="shared" si="31"/>
        <v>0</v>
      </c>
      <c r="P138" s="505">
        <f t="shared" si="32"/>
        <v>0</v>
      </c>
      <c r="Q138" s="244"/>
      <c r="R138" s="244"/>
      <c r="S138" s="244"/>
      <c r="T138" s="244"/>
      <c r="U138" s="244"/>
    </row>
    <row r="139" spans="2:21" ht="12.5">
      <c r="B139" s="145" t="str">
        <f t="shared" si="18"/>
        <v/>
      </c>
      <c r="C139" s="496">
        <f>IF(D94="","-",+C138+1)</f>
        <v>2053</v>
      </c>
      <c r="D139" s="350">
        <f>IF(F138+SUM(E$100:E138)=D$93,F138,D$93-SUM(E$100:E138))</f>
        <v>0</v>
      </c>
      <c r="E139" s="629">
        <f t="shared" si="25"/>
        <v>0</v>
      </c>
      <c r="F139" s="511">
        <f t="shared" si="26"/>
        <v>0</v>
      </c>
      <c r="G139" s="511">
        <f t="shared" si="27"/>
        <v>0</v>
      </c>
      <c r="H139" s="646">
        <f t="shared" si="29"/>
        <v>0</v>
      </c>
      <c r="I139" s="630">
        <f t="shared" si="28"/>
        <v>0</v>
      </c>
      <c r="J139" s="505">
        <f t="shared" si="19"/>
        <v>0</v>
      </c>
      <c r="K139" s="505"/>
      <c r="L139" s="513"/>
      <c r="M139" s="505">
        <f t="shared" si="30"/>
        <v>0</v>
      </c>
      <c r="N139" s="513"/>
      <c r="O139" s="505">
        <f t="shared" si="31"/>
        <v>0</v>
      </c>
      <c r="P139" s="505">
        <f t="shared" si="32"/>
        <v>0</v>
      </c>
      <c r="Q139" s="244"/>
      <c r="R139" s="244"/>
      <c r="S139" s="244"/>
      <c r="T139" s="244"/>
      <c r="U139" s="244"/>
    </row>
    <row r="140" spans="2:21" ht="12.5">
      <c r="B140" s="145" t="str">
        <f t="shared" si="18"/>
        <v/>
      </c>
      <c r="C140" s="496">
        <f>IF(D94="","-",+C139+1)</f>
        <v>2054</v>
      </c>
      <c r="D140" s="350">
        <f>IF(F139+SUM(E$100:E139)=D$93,F139,D$93-SUM(E$100:E139))</f>
        <v>0</v>
      </c>
      <c r="E140" s="629">
        <f t="shared" si="25"/>
        <v>0</v>
      </c>
      <c r="F140" s="511">
        <f t="shared" si="26"/>
        <v>0</v>
      </c>
      <c r="G140" s="511">
        <f t="shared" si="27"/>
        <v>0</v>
      </c>
      <c r="H140" s="646">
        <f t="shared" si="29"/>
        <v>0</v>
      </c>
      <c r="I140" s="630">
        <f t="shared" si="28"/>
        <v>0</v>
      </c>
      <c r="J140" s="505">
        <f t="shared" si="19"/>
        <v>0</v>
      </c>
      <c r="K140" s="505"/>
      <c r="L140" s="513"/>
      <c r="M140" s="505">
        <f t="shared" si="30"/>
        <v>0</v>
      </c>
      <c r="N140" s="513"/>
      <c r="O140" s="505">
        <f t="shared" si="31"/>
        <v>0</v>
      </c>
      <c r="P140" s="505">
        <f t="shared" si="32"/>
        <v>0</v>
      </c>
      <c r="Q140" s="244"/>
      <c r="R140" s="244"/>
      <c r="S140" s="244"/>
      <c r="T140" s="244"/>
      <c r="U140" s="244"/>
    </row>
    <row r="141" spans="2:21" ht="12.5">
      <c r="B141" s="145" t="str">
        <f t="shared" si="18"/>
        <v/>
      </c>
      <c r="C141" s="496">
        <f>IF(D94="","-",+C140+1)</f>
        <v>2055</v>
      </c>
      <c r="D141" s="350">
        <f>IF(F140+SUM(E$100:E140)=D$93,F140,D$93-SUM(E$100:E140))</f>
        <v>0</v>
      </c>
      <c r="E141" s="629">
        <f t="shared" si="25"/>
        <v>0</v>
      </c>
      <c r="F141" s="511">
        <f t="shared" si="26"/>
        <v>0</v>
      </c>
      <c r="G141" s="511">
        <f t="shared" si="27"/>
        <v>0</v>
      </c>
      <c r="H141" s="646">
        <f t="shared" si="29"/>
        <v>0</v>
      </c>
      <c r="I141" s="630">
        <f t="shared" si="28"/>
        <v>0</v>
      </c>
      <c r="J141" s="505">
        <f t="shared" si="19"/>
        <v>0</v>
      </c>
      <c r="K141" s="505"/>
      <c r="L141" s="513"/>
      <c r="M141" s="505">
        <f t="shared" si="30"/>
        <v>0</v>
      </c>
      <c r="N141" s="513"/>
      <c r="O141" s="505">
        <f t="shared" si="31"/>
        <v>0</v>
      </c>
      <c r="P141" s="505">
        <f t="shared" si="32"/>
        <v>0</v>
      </c>
      <c r="Q141" s="244"/>
      <c r="R141" s="244"/>
      <c r="S141" s="244"/>
      <c r="T141" s="244"/>
      <c r="U141" s="244"/>
    </row>
    <row r="142" spans="2:21" ht="12.5">
      <c r="B142" s="145" t="str">
        <f t="shared" si="18"/>
        <v/>
      </c>
      <c r="C142" s="496">
        <f>IF(D94="","-",+C141+1)</f>
        <v>2056</v>
      </c>
      <c r="D142" s="350">
        <f>IF(F141+SUM(E$100:E141)=D$93,F141,D$93-SUM(E$100:E141))</f>
        <v>0</v>
      </c>
      <c r="E142" s="629">
        <f t="shared" si="25"/>
        <v>0</v>
      </c>
      <c r="F142" s="511">
        <f t="shared" si="26"/>
        <v>0</v>
      </c>
      <c r="G142" s="511">
        <f t="shared" si="27"/>
        <v>0</v>
      </c>
      <c r="H142" s="646">
        <f t="shared" si="29"/>
        <v>0</v>
      </c>
      <c r="I142" s="630">
        <f t="shared" si="28"/>
        <v>0</v>
      </c>
      <c r="J142" s="505">
        <f t="shared" si="19"/>
        <v>0</v>
      </c>
      <c r="K142" s="505"/>
      <c r="L142" s="513"/>
      <c r="M142" s="505">
        <f t="shared" si="30"/>
        <v>0</v>
      </c>
      <c r="N142" s="513"/>
      <c r="O142" s="505">
        <f t="shared" si="31"/>
        <v>0</v>
      </c>
      <c r="P142" s="505">
        <f t="shared" si="32"/>
        <v>0</v>
      </c>
      <c r="Q142" s="244"/>
      <c r="R142" s="244"/>
      <c r="S142" s="244"/>
      <c r="T142" s="244"/>
      <c r="U142" s="244"/>
    </row>
    <row r="143" spans="2:21" ht="12.5">
      <c r="B143" s="145" t="str">
        <f t="shared" si="18"/>
        <v/>
      </c>
      <c r="C143" s="496">
        <f>IF(D94="","-",+C142+1)</f>
        <v>2057</v>
      </c>
      <c r="D143" s="350">
        <f>IF(F142+SUM(E$100:E142)=D$93,F142,D$93-SUM(E$100:E142))</f>
        <v>0</v>
      </c>
      <c r="E143" s="629">
        <f t="shared" si="25"/>
        <v>0</v>
      </c>
      <c r="F143" s="511">
        <f t="shared" si="26"/>
        <v>0</v>
      </c>
      <c r="G143" s="511">
        <f t="shared" si="27"/>
        <v>0</v>
      </c>
      <c r="H143" s="646">
        <f t="shared" si="29"/>
        <v>0</v>
      </c>
      <c r="I143" s="630">
        <f t="shared" si="28"/>
        <v>0</v>
      </c>
      <c r="J143" s="505">
        <f t="shared" si="19"/>
        <v>0</v>
      </c>
      <c r="K143" s="505"/>
      <c r="L143" s="513"/>
      <c r="M143" s="505">
        <f t="shared" si="30"/>
        <v>0</v>
      </c>
      <c r="N143" s="513"/>
      <c r="O143" s="505">
        <f t="shared" si="31"/>
        <v>0</v>
      </c>
      <c r="P143" s="505">
        <f t="shared" si="32"/>
        <v>0</v>
      </c>
      <c r="Q143" s="244"/>
      <c r="R143" s="244"/>
      <c r="S143" s="244"/>
      <c r="T143" s="244"/>
      <c r="U143" s="244"/>
    </row>
    <row r="144" spans="2:21" ht="12.5">
      <c r="B144" s="145" t="str">
        <f t="shared" si="18"/>
        <v/>
      </c>
      <c r="C144" s="496">
        <f>IF(D94="","-",+C143+1)</f>
        <v>2058</v>
      </c>
      <c r="D144" s="350">
        <f>IF(F143+SUM(E$100:E143)=D$93,F143,D$93-SUM(E$100:E143))</f>
        <v>0</v>
      </c>
      <c r="E144" s="629">
        <f t="shared" si="25"/>
        <v>0</v>
      </c>
      <c r="F144" s="511">
        <f t="shared" si="26"/>
        <v>0</v>
      </c>
      <c r="G144" s="511">
        <f t="shared" si="27"/>
        <v>0</v>
      </c>
      <c r="H144" s="646">
        <f t="shared" si="29"/>
        <v>0</v>
      </c>
      <c r="I144" s="630">
        <f t="shared" si="28"/>
        <v>0</v>
      </c>
      <c r="J144" s="505">
        <f t="shared" si="19"/>
        <v>0</v>
      </c>
      <c r="K144" s="505"/>
      <c r="L144" s="513"/>
      <c r="M144" s="505">
        <f t="shared" si="30"/>
        <v>0</v>
      </c>
      <c r="N144" s="513"/>
      <c r="O144" s="505">
        <f t="shared" si="31"/>
        <v>0</v>
      </c>
      <c r="P144" s="505">
        <f t="shared" si="32"/>
        <v>0</v>
      </c>
      <c r="Q144" s="244"/>
      <c r="R144" s="244"/>
      <c r="S144" s="244"/>
      <c r="T144" s="244"/>
      <c r="U144" s="244"/>
    </row>
    <row r="145" spans="2:21" ht="12.5">
      <c r="B145" s="145" t="str">
        <f t="shared" si="18"/>
        <v/>
      </c>
      <c r="C145" s="496">
        <f>IF(D94="","-",+C144+1)</f>
        <v>2059</v>
      </c>
      <c r="D145" s="350">
        <f>IF(F144+SUM(E$100:E144)=D$93,F144,D$93-SUM(E$100:E144))</f>
        <v>0</v>
      </c>
      <c r="E145" s="629">
        <f t="shared" si="25"/>
        <v>0</v>
      </c>
      <c r="F145" s="511">
        <f t="shared" si="26"/>
        <v>0</v>
      </c>
      <c r="G145" s="511">
        <f t="shared" si="27"/>
        <v>0</v>
      </c>
      <c r="H145" s="646">
        <f t="shared" si="29"/>
        <v>0</v>
      </c>
      <c r="I145" s="630">
        <f t="shared" si="28"/>
        <v>0</v>
      </c>
      <c r="J145" s="505">
        <f t="shared" si="19"/>
        <v>0</v>
      </c>
      <c r="K145" s="505"/>
      <c r="L145" s="513"/>
      <c r="M145" s="505">
        <f t="shared" si="30"/>
        <v>0</v>
      </c>
      <c r="N145" s="513"/>
      <c r="O145" s="505">
        <f t="shared" si="31"/>
        <v>0</v>
      </c>
      <c r="P145" s="505">
        <f t="shared" si="32"/>
        <v>0</v>
      </c>
      <c r="Q145" s="244"/>
      <c r="R145" s="244"/>
      <c r="S145" s="244"/>
      <c r="T145" s="244"/>
      <c r="U145" s="244"/>
    </row>
    <row r="146" spans="2:21" ht="12.5">
      <c r="B146" s="145" t="str">
        <f t="shared" si="18"/>
        <v/>
      </c>
      <c r="C146" s="496">
        <f>IF(D94="","-",+C145+1)</f>
        <v>2060</v>
      </c>
      <c r="D146" s="350">
        <f>IF(F145+SUM(E$100:E145)=D$93,F145,D$93-SUM(E$100:E145))</f>
        <v>0</v>
      </c>
      <c r="E146" s="629">
        <f t="shared" si="25"/>
        <v>0</v>
      </c>
      <c r="F146" s="511">
        <f t="shared" si="26"/>
        <v>0</v>
      </c>
      <c r="G146" s="511">
        <f t="shared" si="27"/>
        <v>0</v>
      </c>
      <c r="H146" s="646">
        <f t="shared" si="29"/>
        <v>0</v>
      </c>
      <c r="I146" s="630">
        <f t="shared" si="28"/>
        <v>0</v>
      </c>
      <c r="J146" s="505">
        <f t="shared" si="19"/>
        <v>0</v>
      </c>
      <c r="K146" s="505"/>
      <c r="L146" s="513"/>
      <c r="M146" s="505">
        <f t="shared" si="30"/>
        <v>0</v>
      </c>
      <c r="N146" s="513"/>
      <c r="O146" s="505">
        <f t="shared" si="31"/>
        <v>0</v>
      </c>
      <c r="P146" s="505">
        <f t="shared" si="32"/>
        <v>0</v>
      </c>
      <c r="Q146" s="244"/>
      <c r="R146" s="244"/>
      <c r="S146" s="244"/>
      <c r="T146" s="244"/>
      <c r="U146" s="244"/>
    </row>
    <row r="147" spans="2:21" ht="12.5">
      <c r="B147" s="145" t="str">
        <f t="shared" si="18"/>
        <v/>
      </c>
      <c r="C147" s="496">
        <f>IF(D94="","-",+C146+1)</f>
        <v>2061</v>
      </c>
      <c r="D147" s="350">
        <f>IF(F146+SUM(E$100:E146)=D$93,F146,D$93-SUM(E$100:E146))</f>
        <v>0</v>
      </c>
      <c r="E147" s="629">
        <f t="shared" si="25"/>
        <v>0</v>
      </c>
      <c r="F147" s="511">
        <f t="shared" si="26"/>
        <v>0</v>
      </c>
      <c r="G147" s="511">
        <f t="shared" si="27"/>
        <v>0</v>
      </c>
      <c r="H147" s="646">
        <f t="shared" si="29"/>
        <v>0</v>
      </c>
      <c r="I147" s="630">
        <f t="shared" si="28"/>
        <v>0</v>
      </c>
      <c r="J147" s="505">
        <f t="shared" si="19"/>
        <v>0</v>
      </c>
      <c r="K147" s="505"/>
      <c r="L147" s="513"/>
      <c r="M147" s="505">
        <f t="shared" si="30"/>
        <v>0</v>
      </c>
      <c r="N147" s="513"/>
      <c r="O147" s="505">
        <f t="shared" si="31"/>
        <v>0</v>
      </c>
      <c r="P147" s="505">
        <f t="shared" si="32"/>
        <v>0</v>
      </c>
      <c r="Q147" s="244"/>
      <c r="R147" s="244"/>
      <c r="S147" s="244"/>
      <c r="T147" s="244"/>
      <c r="U147" s="244"/>
    </row>
    <row r="148" spans="2:21" ht="12.5">
      <c r="B148" s="145" t="str">
        <f t="shared" si="18"/>
        <v/>
      </c>
      <c r="C148" s="496">
        <f>IF(D94="","-",+C147+1)</f>
        <v>2062</v>
      </c>
      <c r="D148" s="350">
        <f>IF(F147+SUM(E$100:E147)=D$93,F147,D$93-SUM(E$100:E147))</f>
        <v>0</v>
      </c>
      <c r="E148" s="629">
        <f t="shared" si="25"/>
        <v>0</v>
      </c>
      <c r="F148" s="511">
        <f t="shared" si="26"/>
        <v>0</v>
      </c>
      <c r="G148" s="511">
        <f t="shared" si="27"/>
        <v>0</v>
      </c>
      <c r="H148" s="646">
        <f t="shared" si="29"/>
        <v>0</v>
      </c>
      <c r="I148" s="630">
        <f t="shared" si="28"/>
        <v>0</v>
      </c>
      <c r="J148" s="505">
        <f t="shared" si="19"/>
        <v>0</v>
      </c>
      <c r="K148" s="505"/>
      <c r="L148" s="513"/>
      <c r="M148" s="505">
        <f t="shared" si="30"/>
        <v>0</v>
      </c>
      <c r="N148" s="513"/>
      <c r="O148" s="505">
        <f t="shared" si="31"/>
        <v>0</v>
      </c>
      <c r="P148" s="505">
        <f t="shared" si="32"/>
        <v>0</v>
      </c>
      <c r="Q148" s="244"/>
      <c r="R148" s="244"/>
      <c r="S148" s="244"/>
      <c r="T148" s="244"/>
      <c r="U148" s="244"/>
    </row>
    <row r="149" spans="2:21" ht="12.5">
      <c r="B149" s="145" t="str">
        <f t="shared" si="18"/>
        <v/>
      </c>
      <c r="C149" s="496">
        <f>IF(D94="","-",+C148+1)</f>
        <v>2063</v>
      </c>
      <c r="D149" s="350">
        <f>IF(F148+SUM(E$100:E148)=D$93,F148,D$93-SUM(E$100:E148))</f>
        <v>0</v>
      </c>
      <c r="E149" s="629">
        <f t="shared" si="25"/>
        <v>0</v>
      </c>
      <c r="F149" s="511">
        <f t="shared" si="26"/>
        <v>0</v>
      </c>
      <c r="G149" s="511">
        <f t="shared" si="27"/>
        <v>0</v>
      </c>
      <c r="H149" s="646">
        <f t="shared" si="29"/>
        <v>0</v>
      </c>
      <c r="I149" s="630">
        <f t="shared" si="28"/>
        <v>0</v>
      </c>
      <c r="J149" s="505">
        <f t="shared" si="19"/>
        <v>0</v>
      </c>
      <c r="K149" s="505"/>
      <c r="L149" s="513"/>
      <c r="M149" s="505">
        <f t="shared" si="30"/>
        <v>0</v>
      </c>
      <c r="N149" s="513"/>
      <c r="O149" s="505">
        <f t="shared" si="31"/>
        <v>0</v>
      </c>
      <c r="P149" s="505">
        <f t="shared" si="32"/>
        <v>0</v>
      </c>
      <c r="Q149" s="244"/>
      <c r="R149" s="244"/>
      <c r="S149" s="244"/>
      <c r="T149" s="244"/>
      <c r="U149" s="244"/>
    </row>
    <row r="150" spans="2:21" ht="12.5">
      <c r="B150" s="145" t="str">
        <f t="shared" si="18"/>
        <v/>
      </c>
      <c r="C150" s="496">
        <f>IF(D94="","-",+C149+1)</f>
        <v>2064</v>
      </c>
      <c r="D150" s="350">
        <f>IF(F149+SUM(E$100:E149)=D$93,F149,D$93-SUM(E$100:E149))</f>
        <v>0</v>
      </c>
      <c r="E150" s="629">
        <f t="shared" si="25"/>
        <v>0</v>
      </c>
      <c r="F150" s="511">
        <f t="shared" si="26"/>
        <v>0</v>
      </c>
      <c r="G150" s="511">
        <f t="shared" si="27"/>
        <v>0</v>
      </c>
      <c r="H150" s="646">
        <f t="shared" si="29"/>
        <v>0</v>
      </c>
      <c r="I150" s="630">
        <f t="shared" si="28"/>
        <v>0</v>
      </c>
      <c r="J150" s="505">
        <f t="shared" si="19"/>
        <v>0</v>
      </c>
      <c r="K150" s="505"/>
      <c r="L150" s="513"/>
      <c r="M150" s="505">
        <f t="shared" si="30"/>
        <v>0</v>
      </c>
      <c r="N150" s="513"/>
      <c r="O150" s="505">
        <f t="shared" si="31"/>
        <v>0</v>
      </c>
      <c r="P150" s="505">
        <f t="shared" si="32"/>
        <v>0</v>
      </c>
      <c r="Q150" s="244"/>
      <c r="R150" s="244"/>
      <c r="S150" s="244"/>
      <c r="T150" s="244"/>
      <c r="U150" s="244"/>
    </row>
    <row r="151" spans="2:21" ht="12.5">
      <c r="B151" s="145" t="str">
        <f t="shared" si="18"/>
        <v/>
      </c>
      <c r="C151" s="496">
        <f>IF(D94="","-",+C150+1)</f>
        <v>2065</v>
      </c>
      <c r="D151" s="350">
        <f>IF(F150+SUM(E$100:E150)=D$93,F150,D$93-SUM(E$100:E150))</f>
        <v>0</v>
      </c>
      <c r="E151" s="629">
        <f t="shared" si="25"/>
        <v>0</v>
      </c>
      <c r="F151" s="511">
        <f t="shared" si="26"/>
        <v>0</v>
      </c>
      <c r="G151" s="511">
        <f t="shared" si="27"/>
        <v>0</v>
      </c>
      <c r="H151" s="646">
        <f t="shared" si="29"/>
        <v>0</v>
      </c>
      <c r="I151" s="630">
        <f t="shared" si="28"/>
        <v>0</v>
      </c>
      <c r="J151" s="505">
        <f t="shared" si="19"/>
        <v>0</v>
      </c>
      <c r="K151" s="505"/>
      <c r="L151" s="513"/>
      <c r="M151" s="505">
        <f t="shared" si="30"/>
        <v>0</v>
      </c>
      <c r="N151" s="513"/>
      <c r="O151" s="505">
        <f t="shared" si="31"/>
        <v>0</v>
      </c>
      <c r="P151" s="505">
        <f t="shared" si="32"/>
        <v>0</v>
      </c>
      <c r="Q151" s="244"/>
      <c r="R151" s="244"/>
      <c r="S151" s="244"/>
      <c r="T151" s="244"/>
      <c r="U151" s="244"/>
    </row>
    <row r="152" spans="2:21" ht="12.5">
      <c r="B152" s="145" t="str">
        <f t="shared" si="18"/>
        <v/>
      </c>
      <c r="C152" s="496">
        <f>IF(D94="","-",+C151+1)</f>
        <v>2066</v>
      </c>
      <c r="D152" s="350">
        <f>IF(F151+SUM(E$100:E151)=D$93,F151,D$93-SUM(E$100:E151))</f>
        <v>0</v>
      </c>
      <c r="E152" s="629">
        <f t="shared" si="25"/>
        <v>0</v>
      </c>
      <c r="F152" s="511">
        <f t="shared" si="26"/>
        <v>0</v>
      </c>
      <c r="G152" s="511">
        <f t="shared" si="27"/>
        <v>0</v>
      </c>
      <c r="H152" s="646">
        <f t="shared" si="29"/>
        <v>0</v>
      </c>
      <c r="I152" s="630">
        <f t="shared" si="28"/>
        <v>0</v>
      </c>
      <c r="J152" s="505">
        <f t="shared" si="19"/>
        <v>0</v>
      </c>
      <c r="K152" s="505"/>
      <c r="L152" s="513"/>
      <c r="M152" s="505">
        <f t="shared" si="30"/>
        <v>0</v>
      </c>
      <c r="N152" s="513"/>
      <c r="O152" s="505">
        <f t="shared" si="31"/>
        <v>0</v>
      </c>
      <c r="P152" s="505">
        <f t="shared" si="32"/>
        <v>0</v>
      </c>
      <c r="Q152" s="244"/>
      <c r="R152" s="244"/>
      <c r="S152" s="244"/>
      <c r="T152" s="244"/>
      <c r="U152" s="244"/>
    </row>
    <row r="153" spans="2:21" ht="12.5">
      <c r="B153" s="145" t="str">
        <f t="shared" si="18"/>
        <v/>
      </c>
      <c r="C153" s="496">
        <f>IF(D94="","-",+C152+1)</f>
        <v>2067</v>
      </c>
      <c r="D153" s="350">
        <f>IF(F152+SUM(E$100:E152)=D$93,F152,D$93-SUM(E$100:E152))</f>
        <v>0</v>
      </c>
      <c r="E153" s="629">
        <f t="shared" si="25"/>
        <v>0</v>
      </c>
      <c r="F153" s="511">
        <f t="shared" si="26"/>
        <v>0</v>
      </c>
      <c r="G153" s="511">
        <f t="shared" si="27"/>
        <v>0</v>
      </c>
      <c r="H153" s="646">
        <f t="shared" si="29"/>
        <v>0</v>
      </c>
      <c r="I153" s="630">
        <f t="shared" si="28"/>
        <v>0</v>
      </c>
      <c r="J153" s="505">
        <f t="shared" si="19"/>
        <v>0</v>
      </c>
      <c r="K153" s="505"/>
      <c r="L153" s="513"/>
      <c r="M153" s="505">
        <f t="shared" si="30"/>
        <v>0</v>
      </c>
      <c r="N153" s="513"/>
      <c r="O153" s="505">
        <f t="shared" si="31"/>
        <v>0</v>
      </c>
      <c r="P153" s="505">
        <f t="shared" si="32"/>
        <v>0</v>
      </c>
      <c r="Q153" s="244"/>
      <c r="R153" s="244"/>
      <c r="S153" s="244"/>
      <c r="T153" s="244"/>
      <c r="U153" s="244"/>
    </row>
    <row r="154" spans="2:21" ht="12.5">
      <c r="B154" s="145" t="str">
        <f t="shared" si="18"/>
        <v/>
      </c>
      <c r="C154" s="496">
        <f>IF(D94="","-",+C153+1)</f>
        <v>2068</v>
      </c>
      <c r="D154" s="350">
        <f>IF(F153+SUM(E$100:E153)=D$93,F153,D$93-SUM(E$100:E153))</f>
        <v>0</v>
      </c>
      <c r="E154" s="629">
        <f t="shared" si="25"/>
        <v>0</v>
      </c>
      <c r="F154" s="511">
        <f t="shared" si="26"/>
        <v>0</v>
      </c>
      <c r="G154" s="511">
        <f t="shared" si="27"/>
        <v>0</v>
      </c>
      <c r="H154" s="646">
        <f t="shared" si="29"/>
        <v>0</v>
      </c>
      <c r="I154" s="630">
        <f t="shared" si="28"/>
        <v>0</v>
      </c>
      <c r="J154" s="505">
        <f t="shared" si="19"/>
        <v>0</v>
      </c>
      <c r="K154" s="505"/>
      <c r="L154" s="513"/>
      <c r="M154" s="505">
        <f t="shared" si="30"/>
        <v>0</v>
      </c>
      <c r="N154" s="513"/>
      <c r="O154" s="505">
        <f t="shared" si="31"/>
        <v>0</v>
      </c>
      <c r="P154" s="505">
        <f t="shared" si="32"/>
        <v>0</v>
      </c>
      <c r="Q154" s="244"/>
      <c r="R154" s="244"/>
      <c r="S154" s="244"/>
      <c r="T154" s="244"/>
      <c r="U154" s="244"/>
    </row>
    <row r="155" spans="2:21" ht="13" thickBot="1">
      <c r="B155" s="145" t="str">
        <f t="shared" si="18"/>
        <v/>
      </c>
      <c r="C155" s="525">
        <f>IF(D94="","-",+C154+1)</f>
        <v>2069</v>
      </c>
      <c r="D155" s="619">
        <f>IF(F154+SUM(E$100:E154)=D$93,F154,D$93-SUM(E$100:E154))</f>
        <v>0</v>
      </c>
      <c r="E155" s="631">
        <f t="shared" si="25"/>
        <v>0</v>
      </c>
      <c r="F155" s="528">
        <f t="shared" si="26"/>
        <v>0</v>
      </c>
      <c r="G155" s="528">
        <f t="shared" si="27"/>
        <v>0</v>
      </c>
      <c r="H155" s="646">
        <f t="shared" si="29"/>
        <v>0</v>
      </c>
      <c r="I155" s="632">
        <f t="shared" si="28"/>
        <v>0</v>
      </c>
      <c r="J155" s="532">
        <f t="shared" si="19"/>
        <v>0</v>
      </c>
      <c r="K155" s="505"/>
      <c r="L155" s="531"/>
      <c r="M155" s="532">
        <f t="shared" si="30"/>
        <v>0</v>
      </c>
      <c r="N155" s="531"/>
      <c r="O155" s="532">
        <f t="shared" si="31"/>
        <v>0</v>
      </c>
      <c r="P155" s="532">
        <f t="shared" si="32"/>
        <v>0</v>
      </c>
      <c r="Q155" s="244"/>
      <c r="R155" s="244"/>
      <c r="S155" s="244"/>
      <c r="T155" s="244"/>
      <c r="U155" s="244"/>
    </row>
    <row r="156" spans="2:21" ht="12.5">
      <c r="C156" s="350" t="s">
        <v>75</v>
      </c>
      <c r="D156" s="295"/>
      <c r="E156" s="295">
        <f>SUM(E100:E155)</f>
        <v>13254470.000000004</v>
      </c>
      <c r="F156" s="295"/>
      <c r="G156" s="295"/>
      <c r="H156" s="295">
        <f>SUM(H100:H155)</f>
        <v>35080845.548231758</v>
      </c>
      <c r="I156" s="295">
        <f>SUM(I100:I155)</f>
        <v>35080845.548231758</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8" priority="1" stopIfTrue="1" operator="equal">
      <formula>$I$10</formula>
    </cfRule>
  </conditionalFormatting>
  <conditionalFormatting sqref="C100:C155">
    <cfRule type="cellIs" dxfId="27"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39997558519241921"/>
  </sheetPr>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13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-350164.00484349014</v>
      </c>
      <c r="P5" s="244"/>
      <c r="R5" s="244"/>
      <c r="S5" s="244"/>
      <c r="T5" s="244"/>
      <c r="U5" s="244"/>
    </row>
    <row r="6" spans="1:21" ht="15.5">
      <c r="C6" s="634" t="s">
        <v>267</v>
      </c>
      <c r="D6" s="293"/>
      <c r="E6" s="244"/>
      <c r="F6" s="244"/>
      <c r="G6" s="244"/>
      <c r="H6" s="450"/>
      <c r="I6" s="450"/>
      <c r="J6" s="451"/>
      <c r="K6" s="452" t="s">
        <v>243</v>
      </c>
      <c r="L6" s="453"/>
      <c r="M6" s="279"/>
      <c r="N6" s="454">
        <f>VLOOKUP(I10,C17:I73,6)</f>
        <v>-350164.00484349014</v>
      </c>
      <c r="O6" s="244"/>
      <c r="P6" s="244"/>
      <c r="R6" s="244"/>
      <c r="S6" s="244"/>
      <c r="T6" s="244"/>
      <c r="U6" s="244"/>
    </row>
    <row r="7" spans="1:21" ht="13.5" thickBot="1">
      <c r="C7" s="455" t="s">
        <v>46</v>
      </c>
      <c r="D7" s="456" t="s">
        <v>231</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232</v>
      </c>
      <c r="E9" s="466"/>
      <c r="F9" s="466"/>
      <c r="G9" s="466"/>
      <c r="H9" s="466"/>
      <c r="I9" s="467"/>
      <c r="J9" s="468"/>
      <c r="O9" s="469"/>
      <c r="P9" s="279"/>
      <c r="R9" s="244"/>
      <c r="S9" s="244"/>
      <c r="T9" s="244"/>
      <c r="U9" s="244"/>
    </row>
    <row r="10" spans="1:21" ht="13">
      <c r="C10" s="470" t="s">
        <v>49</v>
      </c>
      <c r="D10" s="471">
        <v>0</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613">
        <v>4086696.07</v>
      </c>
      <c r="E17" s="621">
        <v>11782.768994177641</v>
      </c>
      <c r="F17" s="613">
        <v>4074913.3010058221</v>
      </c>
      <c r="G17" s="621">
        <v>123870.72395190655</v>
      </c>
      <c r="H17" s="618">
        <v>123870.72395190655</v>
      </c>
      <c r="I17" s="633">
        <v>0</v>
      </c>
      <c r="J17" s="501"/>
      <c r="K17" s="502">
        <f t="shared" ref="K17:K21" si="1">G17</f>
        <v>123870.72395190655</v>
      </c>
      <c r="L17" s="503">
        <f t="shared" ref="L17:L73" si="2">IF(K17&lt;&gt;0,+G17-K17,0)</f>
        <v>0</v>
      </c>
      <c r="M17" s="502">
        <f t="shared" ref="M17:M21" si="3">H17</f>
        <v>123870.72395190655</v>
      </c>
      <c r="N17" s="504">
        <f t="shared" ref="N17:N73" si="4">IF(M17&lt;&gt;0,+H17-M17,0)</f>
        <v>0</v>
      </c>
      <c r="O17" s="505">
        <f t="shared" ref="O17:O73" si="5">+N17-L17</f>
        <v>0</v>
      </c>
      <c r="P17" s="279"/>
      <c r="R17" s="244"/>
      <c r="S17" s="244"/>
      <c r="T17" s="244"/>
      <c r="U17" s="244"/>
    </row>
    <row r="18" spans="2:21" ht="12.5">
      <c r="B18" s="145" t="str">
        <f t="shared" si="0"/>
        <v/>
      </c>
      <c r="C18" s="496">
        <f>IF(D11="","-",+C17+1)</f>
        <v>2014</v>
      </c>
      <c r="D18" s="615">
        <v>4074913.3010058221</v>
      </c>
      <c r="E18" s="614">
        <v>70696.613965065844</v>
      </c>
      <c r="F18" s="615">
        <v>4004216.6870407565</v>
      </c>
      <c r="G18" s="614">
        <v>511269.87430631154</v>
      </c>
      <c r="H18" s="618">
        <v>511269.87430631154</v>
      </c>
      <c r="I18" s="633">
        <v>0</v>
      </c>
      <c r="J18" s="501"/>
      <c r="K18" s="593">
        <f t="shared" si="1"/>
        <v>511269.87430631154</v>
      </c>
      <c r="L18" s="597">
        <f t="shared" si="2"/>
        <v>0</v>
      </c>
      <c r="M18" s="593">
        <f t="shared" si="3"/>
        <v>511269.87430631154</v>
      </c>
      <c r="N18" s="595">
        <f t="shared" si="4"/>
        <v>0</v>
      </c>
      <c r="O18" s="597">
        <f t="shared" si="5"/>
        <v>0</v>
      </c>
      <c r="P18" s="279"/>
      <c r="R18" s="244"/>
      <c r="S18" s="244"/>
      <c r="T18" s="244"/>
      <c r="U18" s="244"/>
    </row>
    <row r="19" spans="2:21" ht="12.5">
      <c r="B19" s="145" t="str">
        <f t="shared" si="0"/>
        <v/>
      </c>
      <c r="C19" s="496">
        <f>IF(D11="","-",+C18+1)</f>
        <v>2015</v>
      </c>
      <c r="D19" s="615">
        <v>4004216.6870407565</v>
      </c>
      <c r="E19" s="614">
        <v>70696.613965065844</v>
      </c>
      <c r="F19" s="615">
        <v>3933520.0730756908</v>
      </c>
      <c r="G19" s="614">
        <v>476106.58378878143</v>
      </c>
      <c r="H19" s="618">
        <v>476106.58378878143</v>
      </c>
      <c r="I19" s="585">
        <v>0</v>
      </c>
      <c r="J19" s="501"/>
      <c r="K19" s="593">
        <f t="shared" si="1"/>
        <v>476106.58378878143</v>
      </c>
      <c r="L19" s="597">
        <f>IF(K19&lt;&gt;0,+G19-K19,0)</f>
        <v>0</v>
      </c>
      <c r="M19" s="593">
        <f t="shared" si="3"/>
        <v>476106.58378878143</v>
      </c>
      <c r="N19" s="595">
        <f>IF(M19&lt;&gt;0,+H19-M19,0)</f>
        <v>0</v>
      </c>
      <c r="O19" s="597">
        <f>+N19-L19</f>
        <v>0</v>
      </c>
      <c r="P19" s="279"/>
      <c r="R19" s="244"/>
      <c r="S19" s="244"/>
      <c r="T19" s="244"/>
      <c r="U19" s="244"/>
    </row>
    <row r="20" spans="2:21" ht="12.5">
      <c r="B20" s="145" t="str">
        <f t="shared" si="0"/>
        <v/>
      </c>
      <c r="C20" s="496">
        <f>IF(D11="","-",+C19+1)</f>
        <v>2016</v>
      </c>
      <c r="D20" s="615">
        <v>3933520.0730756908</v>
      </c>
      <c r="E20" s="614">
        <v>84919.313620452886</v>
      </c>
      <c r="F20" s="615">
        <v>3848600.759455238</v>
      </c>
      <c r="G20" s="614">
        <v>500107.78781700449</v>
      </c>
      <c r="H20" s="618">
        <v>500107.78781700449</v>
      </c>
      <c r="I20" s="501">
        <f>H20-G20</f>
        <v>0</v>
      </c>
      <c r="J20" s="501"/>
      <c r="K20" s="593">
        <f t="shared" si="1"/>
        <v>500107.78781700449</v>
      </c>
      <c r="L20" s="597">
        <f>IF(K20&lt;&gt;0,+G20-K20,0)</f>
        <v>0</v>
      </c>
      <c r="M20" s="593">
        <f t="shared" si="3"/>
        <v>500107.78781700449</v>
      </c>
      <c r="N20" s="505">
        <f t="shared" si="4"/>
        <v>0</v>
      </c>
      <c r="O20" s="505">
        <f t="shared" si="5"/>
        <v>0</v>
      </c>
      <c r="P20" s="279"/>
      <c r="R20" s="244"/>
      <c r="S20" s="244"/>
      <c r="T20" s="244"/>
      <c r="U20" s="244"/>
    </row>
    <row r="21" spans="2:21" ht="12.5">
      <c r="B21" s="145" t="str">
        <f t="shared" si="0"/>
        <v>IU</v>
      </c>
      <c r="C21" s="496">
        <f>IF(D11="","-",+C20+1)</f>
        <v>2017</v>
      </c>
      <c r="D21" s="615">
        <v>4561942.6894552382</v>
      </c>
      <c r="E21" s="614">
        <v>94378.250117010364</v>
      </c>
      <c r="F21" s="615">
        <v>4467564.4393382277</v>
      </c>
      <c r="G21" s="614">
        <v>590730.13217900996</v>
      </c>
      <c r="H21" s="618">
        <v>590730.13217900996</v>
      </c>
      <c r="I21" s="501">
        <f t="shared" ref="I21:I73" si="6">H21-G21</f>
        <v>0</v>
      </c>
      <c r="J21" s="501"/>
      <c r="K21" s="593">
        <f t="shared" si="1"/>
        <v>590730.13217900996</v>
      </c>
      <c r="L21" s="597">
        <f>IF(K21&lt;&gt;0,+G21-K21,0)</f>
        <v>0</v>
      </c>
      <c r="M21" s="593">
        <f t="shared" si="3"/>
        <v>590730.13217900996</v>
      </c>
      <c r="N21" s="505">
        <f>IF(M21&lt;&gt;0,+H21-M21,0)</f>
        <v>0</v>
      </c>
      <c r="O21" s="505">
        <f>+N21-L21</f>
        <v>0</v>
      </c>
      <c r="P21" s="279"/>
      <c r="R21" s="244"/>
      <c r="S21" s="244"/>
      <c r="T21" s="244"/>
      <c r="U21" s="244"/>
    </row>
    <row r="22" spans="2:21" ht="12.5">
      <c r="B22" s="145" t="str">
        <f t="shared" si="0"/>
        <v>IU</v>
      </c>
      <c r="C22" s="496">
        <f>IF(D11="","-",+C21+1)</f>
        <v>2018</v>
      </c>
      <c r="D22" s="615"/>
      <c r="E22" s="614"/>
      <c r="F22" s="615"/>
      <c r="G22" s="614"/>
      <c r="H22" s="618"/>
      <c r="I22" s="501">
        <v>0</v>
      </c>
      <c r="J22" s="501"/>
      <c r="K22" s="593">
        <f t="shared" ref="K22" si="7">G22</f>
        <v>0</v>
      </c>
      <c r="L22" s="597">
        <f>IF(K22&lt;&gt;0,+G22-K22,0)</f>
        <v>0</v>
      </c>
      <c r="M22" s="593">
        <f t="shared" ref="M22" si="8">H22</f>
        <v>0</v>
      </c>
      <c r="N22" s="505">
        <f>IF(M22&lt;&gt;0,+H22-M22,0)</f>
        <v>0</v>
      </c>
      <c r="O22" s="505">
        <f>+N22-L22</f>
        <v>0</v>
      </c>
      <c r="P22" s="279"/>
      <c r="R22" s="244"/>
      <c r="S22" s="244"/>
      <c r="T22" s="244"/>
      <c r="U22" s="244"/>
    </row>
    <row r="23" spans="2:21" ht="12.5">
      <c r="B23" s="145" t="str">
        <f t="shared" si="0"/>
        <v/>
      </c>
      <c r="C23" s="496">
        <f>IF(D11="","-",+C22+1)</f>
        <v>2019</v>
      </c>
      <c r="D23" s="509">
        <v>0</v>
      </c>
      <c r="E23" s="510">
        <f t="shared" ref="E23:E73" si="9">IF(+$I$14&lt;F22,$I$14,D23)</f>
        <v>0</v>
      </c>
      <c r="F23" s="511">
        <f t="shared" ref="F23:F73" si="10">+D23-E23</f>
        <v>0</v>
      </c>
      <c r="G23" s="512">
        <f t="shared" ref="G23:G73" si="11">(D23+F23)/2*I$12+E23</f>
        <v>0</v>
      </c>
      <c r="H23" s="478">
        <f t="shared" ref="H23:H73" si="12">+(D23+F23)/2*I$13+E23</f>
        <v>0</v>
      </c>
      <c r="I23" s="501">
        <f t="shared" si="6"/>
        <v>0</v>
      </c>
      <c r="J23" s="501"/>
      <c r="K23" s="513"/>
      <c r="L23" s="505">
        <f t="shared" si="2"/>
        <v>0</v>
      </c>
      <c r="M23" s="513"/>
      <c r="N23" s="505">
        <f t="shared" si="4"/>
        <v>0</v>
      </c>
      <c r="O23" s="505">
        <f t="shared" si="5"/>
        <v>0</v>
      </c>
      <c r="P23" s="279"/>
      <c r="R23" s="244"/>
      <c r="S23" s="244"/>
      <c r="T23" s="244"/>
      <c r="U23" s="244"/>
    </row>
    <row r="24" spans="2:21" ht="12.5">
      <c r="B24" s="145" t="str">
        <f t="shared" si="0"/>
        <v>IU</v>
      </c>
      <c r="C24" s="496">
        <f>IF(D11="","-",+C23+1)</f>
        <v>2020</v>
      </c>
      <c r="D24" s="509">
        <f>IF(F23+SUM(E$17:E23)=D$10,F23,D$10-SUM(E$17:E23))</f>
        <v>-332473.56066177262</v>
      </c>
      <c r="E24" s="510">
        <f t="shared" si="9"/>
        <v>-332473.56066177262</v>
      </c>
      <c r="F24" s="511">
        <f t="shared" si="10"/>
        <v>0</v>
      </c>
      <c r="G24" s="512">
        <f t="shared" si="11"/>
        <v>-350164.00484349014</v>
      </c>
      <c r="H24" s="478">
        <f t="shared" si="12"/>
        <v>-350164.00484349014</v>
      </c>
      <c r="I24" s="501">
        <f t="shared" si="6"/>
        <v>0</v>
      </c>
      <c r="J24" s="501"/>
      <c r="K24" s="513"/>
      <c r="L24" s="505">
        <f t="shared" si="2"/>
        <v>0</v>
      </c>
      <c r="M24" s="513"/>
      <c r="N24" s="505">
        <f t="shared" si="4"/>
        <v>0</v>
      </c>
      <c r="O24" s="505">
        <f t="shared" si="5"/>
        <v>0</v>
      </c>
      <c r="P24" s="279"/>
      <c r="R24" s="244"/>
      <c r="S24" s="244"/>
      <c r="T24" s="244"/>
      <c r="U24" s="244"/>
    </row>
    <row r="25" spans="2:21" ht="12.5">
      <c r="B25" s="145" t="str">
        <f t="shared" si="0"/>
        <v/>
      </c>
      <c r="C25" s="496">
        <f>IF(D11="","-",+C24+1)</f>
        <v>2021</v>
      </c>
      <c r="D25" s="509">
        <f>IF(F24+SUM(E$17:E24)=D$10,F24,D$10-SUM(E$17:E24))</f>
        <v>0</v>
      </c>
      <c r="E25" s="510">
        <f t="shared" si="9"/>
        <v>0</v>
      </c>
      <c r="F25" s="511">
        <f t="shared" si="10"/>
        <v>0</v>
      </c>
      <c r="G25" s="512">
        <f t="shared" si="11"/>
        <v>0</v>
      </c>
      <c r="H25" s="478">
        <f t="shared" si="12"/>
        <v>0</v>
      </c>
      <c r="I25" s="501">
        <f t="shared" si="6"/>
        <v>0</v>
      </c>
      <c r="J25" s="501"/>
      <c r="K25" s="513"/>
      <c r="L25" s="505">
        <f t="shared" si="2"/>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0</v>
      </c>
      <c r="E26" s="510">
        <f t="shared" si="9"/>
        <v>0</v>
      </c>
      <c r="F26" s="511">
        <f t="shared" si="10"/>
        <v>0</v>
      </c>
      <c r="G26" s="512">
        <f t="shared" si="11"/>
        <v>0</v>
      </c>
      <c r="H26" s="478">
        <f t="shared" si="12"/>
        <v>0</v>
      </c>
      <c r="I26" s="501">
        <f t="shared" si="6"/>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0</v>
      </c>
      <c r="E27" s="510">
        <f t="shared" si="9"/>
        <v>0</v>
      </c>
      <c r="F27" s="511">
        <f t="shared" si="10"/>
        <v>0</v>
      </c>
      <c r="G27" s="512">
        <f t="shared" si="11"/>
        <v>0</v>
      </c>
      <c r="H27" s="478">
        <f t="shared" si="12"/>
        <v>0</v>
      </c>
      <c r="I27" s="501">
        <f t="shared" si="6"/>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0</v>
      </c>
      <c r="E28" s="510">
        <f t="shared" si="9"/>
        <v>0</v>
      </c>
      <c r="F28" s="511">
        <f t="shared" si="10"/>
        <v>0</v>
      </c>
      <c r="G28" s="512">
        <f t="shared" si="11"/>
        <v>0</v>
      </c>
      <c r="H28" s="478">
        <f t="shared" si="12"/>
        <v>0</v>
      </c>
      <c r="I28" s="501">
        <f t="shared" si="6"/>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0</v>
      </c>
      <c r="E29" s="510">
        <f t="shared" si="9"/>
        <v>0</v>
      </c>
      <c r="F29" s="511">
        <f t="shared" si="10"/>
        <v>0</v>
      </c>
      <c r="G29" s="512">
        <f t="shared" si="11"/>
        <v>0</v>
      </c>
      <c r="H29" s="478">
        <f t="shared" si="12"/>
        <v>0</v>
      </c>
      <c r="I29" s="501">
        <f t="shared" si="6"/>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0</v>
      </c>
      <c r="E30" s="510">
        <f t="shared" si="9"/>
        <v>0</v>
      </c>
      <c r="F30" s="511">
        <f t="shared" si="10"/>
        <v>0</v>
      </c>
      <c r="G30" s="512">
        <f t="shared" si="11"/>
        <v>0</v>
      </c>
      <c r="H30" s="478">
        <f t="shared" si="12"/>
        <v>0</v>
      </c>
      <c r="I30" s="501">
        <f t="shared" si="6"/>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0</v>
      </c>
      <c r="E31" s="510">
        <f t="shared" si="9"/>
        <v>0</v>
      </c>
      <c r="F31" s="511">
        <f t="shared" si="10"/>
        <v>0</v>
      </c>
      <c r="G31" s="512">
        <f t="shared" si="11"/>
        <v>0</v>
      </c>
      <c r="H31" s="478">
        <f t="shared" si="12"/>
        <v>0</v>
      </c>
      <c r="I31" s="501">
        <f t="shared" si="6"/>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0</v>
      </c>
      <c r="E32" s="510">
        <f>IF(+$I$14&lt;F31,$I$14,D32)</f>
        <v>0</v>
      </c>
      <c r="F32" s="511">
        <f>+D32-E32</f>
        <v>0</v>
      </c>
      <c r="G32" s="512">
        <f t="shared" si="11"/>
        <v>0</v>
      </c>
      <c r="H32" s="478">
        <f t="shared" si="12"/>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0</v>
      </c>
      <c r="E33" s="510">
        <f>IF(+$I$14&lt;F32,$I$14,D33)</f>
        <v>0</v>
      </c>
      <c r="F33" s="511">
        <f>+D33-E33</f>
        <v>0</v>
      </c>
      <c r="G33" s="512">
        <f t="shared" si="11"/>
        <v>0</v>
      </c>
      <c r="H33" s="478">
        <f t="shared" si="12"/>
        <v>0</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2030</v>
      </c>
      <c r="D34" s="515">
        <f>IF(F33+SUM(E$17:E33)=D$10,F33,D$10-SUM(E$17:E33))</f>
        <v>0</v>
      </c>
      <c r="E34" s="516">
        <f t="shared" si="9"/>
        <v>0</v>
      </c>
      <c r="F34" s="517">
        <f t="shared" si="10"/>
        <v>0</v>
      </c>
      <c r="G34" s="512">
        <f t="shared" si="11"/>
        <v>0</v>
      </c>
      <c r="H34" s="478">
        <f t="shared" si="12"/>
        <v>0</v>
      </c>
      <c r="I34" s="520">
        <f t="shared" si="6"/>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0</v>
      </c>
      <c r="E35" s="510">
        <f t="shared" si="9"/>
        <v>0</v>
      </c>
      <c r="F35" s="511">
        <f t="shared" si="10"/>
        <v>0</v>
      </c>
      <c r="G35" s="512">
        <f t="shared" si="11"/>
        <v>0</v>
      </c>
      <c r="H35" s="478">
        <f t="shared" si="12"/>
        <v>0</v>
      </c>
      <c r="I35" s="501">
        <f t="shared" si="6"/>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0</v>
      </c>
      <c r="E36" s="510">
        <f t="shared" si="9"/>
        <v>0</v>
      </c>
      <c r="F36" s="511">
        <f t="shared" si="10"/>
        <v>0</v>
      </c>
      <c r="G36" s="512">
        <f t="shared" si="11"/>
        <v>0</v>
      </c>
      <c r="H36" s="478">
        <f t="shared" si="12"/>
        <v>0</v>
      </c>
      <c r="I36" s="501">
        <f t="shared" si="6"/>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0</v>
      </c>
      <c r="E37" s="510">
        <f t="shared" si="9"/>
        <v>0</v>
      </c>
      <c r="F37" s="511">
        <f t="shared" si="10"/>
        <v>0</v>
      </c>
      <c r="G37" s="512">
        <f t="shared" si="11"/>
        <v>0</v>
      </c>
      <c r="H37" s="478">
        <f t="shared" si="12"/>
        <v>0</v>
      </c>
      <c r="I37" s="501">
        <f t="shared" si="6"/>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0</v>
      </c>
      <c r="E38" s="510">
        <f t="shared" si="9"/>
        <v>0</v>
      </c>
      <c r="F38" s="511">
        <f t="shared" si="10"/>
        <v>0</v>
      </c>
      <c r="G38" s="512">
        <f t="shared" si="11"/>
        <v>0</v>
      </c>
      <c r="H38" s="478">
        <f t="shared" si="12"/>
        <v>0</v>
      </c>
      <c r="I38" s="501">
        <f t="shared" si="6"/>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0</v>
      </c>
      <c r="E39" s="510">
        <f t="shared" si="9"/>
        <v>0</v>
      </c>
      <c r="F39" s="511">
        <f t="shared" si="10"/>
        <v>0</v>
      </c>
      <c r="G39" s="512">
        <f t="shared" si="11"/>
        <v>0</v>
      </c>
      <c r="H39" s="478">
        <f t="shared" si="12"/>
        <v>0</v>
      </c>
      <c r="I39" s="501">
        <f t="shared" si="6"/>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0</v>
      </c>
      <c r="E40" s="510">
        <f t="shared" si="9"/>
        <v>0</v>
      </c>
      <c r="F40" s="511">
        <f t="shared" si="10"/>
        <v>0</v>
      </c>
      <c r="G40" s="512">
        <f t="shared" si="11"/>
        <v>0</v>
      </c>
      <c r="H40" s="478">
        <f t="shared" si="12"/>
        <v>0</v>
      </c>
      <c r="I40" s="501">
        <f t="shared" si="6"/>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0</v>
      </c>
      <c r="E41" s="510">
        <f t="shared" si="9"/>
        <v>0</v>
      </c>
      <c r="F41" s="511">
        <f t="shared" si="10"/>
        <v>0</v>
      </c>
      <c r="G41" s="512">
        <f t="shared" si="11"/>
        <v>0</v>
      </c>
      <c r="H41" s="478">
        <f t="shared" si="12"/>
        <v>0</v>
      </c>
      <c r="I41" s="501">
        <f t="shared" si="6"/>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0</v>
      </c>
      <c r="E42" s="510">
        <f t="shared" si="9"/>
        <v>0</v>
      </c>
      <c r="F42" s="511">
        <f t="shared" si="10"/>
        <v>0</v>
      </c>
      <c r="G42" s="512">
        <f t="shared" si="11"/>
        <v>0</v>
      </c>
      <c r="H42" s="478">
        <f t="shared" si="12"/>
        <v>0</v>
      </c>
      <c r="I42" s="501">
        <f t="shared" si="6"/>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0</v>
      </c>
      <c r="E43" s="510">
        <f t="shared" si="9"/>
        <v>0</v>
      </c>
      <c r="F43" s="511">
        <f t="shared" si="10"/>
        <v>0</v>
      </c>
      <c r="G43" s="512">
        <f t="shared" si="11"/>
        <v>0</v>
      </c>
      <c r="H43" s="478">
        <f t="shared" si="12"/>
        <v>0</v>
      </c>
      <c r="I43" s="501">
        <f t="shared" si="6"/>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0</v>
      </c>
      <c r="E44" s="510">
        <f t="shared" si="9"/>
        <v>0</v>
      </c>
      <c r="F44" s="511">
        <f t="shared" si="10"/>
        <v>0</v>
      </c>
      <c r="G44" s="512">
        <f t="shared" si="11"/>
        <v>0</v>
      </c>
      <c r="H44" s="478">
        <f t="shared" si="12"/>
        <v>0</v>
      </c>
      <c r="I44" s="501">
        <f t="shared" si="6"/>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0</v>
      </c>
      <c r="E45" s="510">
        <f t="shared" si="9"/>
        <v>0</v>
      </c>
      <c r="F45" s="511">
        <f t="shared" si="10"/>
        <v>0</v>
      </c>
      <c r="G45" s="512">
        <f t="shared" si="11"/>
        <v>0</v>
      </c>
      <c r="H45" s="478">
        <f t="shared" si="12"/>
        <v>0</v>
      </c>
      <c r="I45" s="501">
        <f t="shared" si="6"/>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0</v>
      </c>
      <c r="E46" s="510">
        <f t="shared" si="9"/>
        <v>0</v>
      </c>
      <c r="F46" s="511">
        <f t="shared" si="10"/>
        <v>0</v>
      </c>
      <c r="G46" s="512">
        <f t="shared" si="11"/>
        <v>0</v>
      </c>
      <c r="H46" s="478">
        <f t="shared" si="12"/>
        <v>0</v>
      </c>
      <c r="I46" s="501">
        <f t="shared" si="6"/>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0</v>
      </c>
      <c r="E47" s="510">
        <f t="shared" si="9"/>
        <v>0</v>
      </c>
      <c r="F47" s="511">
        <f t="shared" si="10"/>
        <v>0</v>
      </c>
      <c r="G47" s="512">
        <f t="shared" si="11"/>
        <v>0</v>
      </c>
      <c r="H47" s="478">
        <f t="shared" si="12"/>
        <v>0</v>
      </c>
      <c r="I47" s="501">
        <f t="shared" si="6"/>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0</v>
      </c>
      <c r="E48" s="510">
        <f t="shared" si="9"/>
        <v>0</v>
      </c>
      <c r="F48" s="511">
        <f t="shared" si="10"/>
        <v>0</v>
      </c>
      <c r="G48" s="512">
        <f t="shared" si="11"/>
        <v>0</v>
      </c>
      <c r="H48" s="478">
        <f t="shared" si="12"/>
        <v>0</v>
      </c>
      <c r="I48" s="501">
        <f t="shared" si="6"/>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0</v>
      </c>
      <c r="E49" s="510">
        <f t="shared" si="9"/>
        <v>0</v>
      </c>
      <c r="F49" s="511">
        <f t="shared" si="10"/>
        <v>0</v>
      </c>
      <c r="G49" s="512">
        <f t="shared" si="11"/>
        <v>0</v>
      </c>
      <c r="H49" s="478">
        <f t="shared" si="12"/>
        <v>0</v>
      </c>
      <c r="I49" s="501">
        <f t="shared" si="6"/>
        <v>0</v>
      </c>
      <c r="J49" s="501"/>
      <c r="K49" s="513"/>
      <c r="L49" s="505">
        <f t="shared" si="2"/>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0</v>
      </c>
      <c r="E50" s="510">
        <f t="shared" si="9"/>
        <v>0</v>
      </c>
      <c r="F50" s="511">
        <f t="shared" si="10"/>
        <v>0</v>
      </c>
      <c r="G50" s="512">
        <f t="shared" si="11"/>
        <v>0</v>
      </c>
      <c r="H50" s="478">
        <f t="shared" si="12"/>
        <v>0</v>
      </c>
      <c r="I50" s="501">
        <f t="shared" si="6"/>
        <v>0</v>
      </c>
      <c r="J50" s="501"/>
      <c r="K50" s="513"/>
      <c r="L50" s="505">
        <f t="shared" si="2"/>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0</v>
      </c>
      <c r="E51" s="510">
        <f t="shared" si="9"/>
        <v>0</v>
      </c>
      <c r="F51" s="511">
        <f t="shared" si="10"/>
        <v>0</v>
      </c>
      <c r="G51" s="512">
        <f t="shared" si="11"/>
        <v>0</v>
      </c>
      <c r="H51" s="478">
        <f t="shared" si="12"/>
        <v>0</v>
      </c>
      <c r="I51" s="501">
        <f t="shared" si="6"/>
        <v>0</v>
      </c>
      <c r="J51" s="501"/>
      <c r="K51" s="513"/>
      <c r="L51" s="505">
        <f t="shared" si="2"/>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0</v>
      </c>
      <c r="E52" s="510">
        <f t="shared" si="9"/>
        <v>0</v>
      </c>
      <c r="F52" s="511">
        <f t="shared" si="10"/>
        <v>0</v>
      </c>
      <c r="G52" s="512">
        <f t="shared" si="11"/>
        <v>0</v>
      </c>
      <c r="H52" s="478">
        <f t="shared" si="12"/>
        <v>0</v>
      </c>
      <c r="I52" s="501">
        <f t="shared" si="6"/>
        <v>0</v>
      </c>
      <c r="J52" s="501"/>
      <c r="K52" s="513"/>
      <c r="L52" s="505">
        <f t="shared" si="2"/>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0</v>
      </c>
      <c r="E53" s="510">
        <f t="shared" si="9"/>
        <v>0</v>
      </c>
      <c r="F53" s="511">
        <f t="shared" si="10"/>
        <v>0</v>
      </c>
      <c r="G53" s="512">
        <f t="shared" si="11"/>
        <v>0</v>
      </c>
      <c r="H53" s="478">
        <f t="shared" si="12"/>
        <v>0</v>
      </c>
      <c r="I53" s="501">
        <f t="shared" si="6"/>
        <v>0</v>
      </c>
      <c r="J53" s="501"/>
      <c r="K53" s="513"/>
      <c r="L53" s="505">
        <f t="shared" si="2"/>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0</v>
      </c>
      <c r="E54" s="510">
        <f t="shared" si="9"/>
        <v>0</v>
      </c>
      <c r="F54" s="511">
        <f t="shared" si="10"/>
        <v>0</v>
      </c>
      <c r="G54" s="512">
        <f t="shared" si="11"/>
        <v>0</v>
      </c>
      <c r="H54" s="478">
        <f t="shared" si="12"/>
        <v>0</v>
      </c>
      <c r="I54" s="501">
        <f t="shared" si="6"/>
        <v>0</v>
      </c>
      <c r="J54" s="501"/>
      <c r="K54" s="513"/>
      <c r="L54" s="505">
        <f t="shared" si="2"/>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0</v>
      </c>
      <c r="E55" s="510">
        <f t="shared" si="9"/>
        <v>0</v>
      </c>
      <c r="F55" s="511">
        <f t="shared" si="10"/>
        <v>0</v>
      </c>
      <c r="G55" s="512">
        <f t="shared" si="11"/>
        <v>0</v>
      </c>
      <c r="H55" s="478">
        <f t="shared" si="12"/>
        <v>0</v>
      </c>
      <c r="I55" s="501">
        <f t="shared" si="6"/>
        <v>0</v>
      </c>
      <c r="J55" s="501"/>
      <c r="K55" s="513"/>
      <c r="L55" s="505">
        <f t="shared" si="2"/>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0</v>
      </c>
      <c r="E56" s="510">
        <f t="shared" si="9"/>
        <v>0</v>
      </c>
      <c r="F56" s="511">
        <f t="shared" si="10"/>
        <v>0</v>
      </c>
      <c r="G56" s="512">
        <f t="shared" si="11"/>
        <v>0</v>
      </c>
      <c r="H56" s="478">
        <f t="shared" si="12"/>
        <v>0</v>
      </c>
      <c r="I56" s="501">
        <f t="shared" si="6"/>
        <v>0</v>
      </c>
      <c r="J56" s="501"/>
      <c r="K56" s="513"/>
      <c r="L56" s="505">
        <f t="shared" si="2"/>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0</v>
      </c>
      <c r="E57" s="510">
        <f t="shared" si="9"/>
        <v>0</v>
      </c>
      <c r="F57" s="511">
        <f t="shared" si="10"/>
        <v>0</v>
      </c>
      <c r="G57" s="512">
        <f t="shared" si="11"/>
        <v>0</v>
      </c>
      <c r="H57" s="478">
        <f t="shared" si="12"/>
        <v>0</v>
      </c>
      <c r="I57" s="501">
        <f t="shared" si="6"/>
        <v>0</v>
      </c>
      <c r="J57" s="501"/>
      <c r="K57" s="513"/>
      <c r="L57" s="505">
        <f t="shared" si="2"/>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0</v>
      </c>
      <c r="E58" s="510">
        <f t="shared" si="9"/>
        <v>0</v>
      </c>
      <c r="F58" s="511">
        <f t="shared" si="10"/>
        <v>0</v>
      </c>
      <c r="G58" s="512">
        <f t="shared" si="11"/>
        <v>0</v>
      </c>
      <c r="H58" s="478">
        <f t="shared" si="12"/>
        <v>0</v>
      </c>
      <c r="I58" s="501">
        <f t="shared" si="6"/>
        <v>0</v>
      </c>
      <c r="J58" s="501"/>
      <c r="K58" s="513"/>
      <c r="L58" s="505">
        <f t="shared" si="2"/>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0</v>
      </c>
      <c r="E59" s="510">
        <f t="shared" si="9"/>
        <v>0</v>
      </c>
      <c r="F59" s="511">
        <f t="shared" si="10"/>
        <v>0</v>
      </c>
      <c r="G59" s="512">
        <f t="shared" si="11"/>
        <v>0</v>
      </c>
      <c r="H59" s="478">
        <f t="shared" si="12"/>
        <v>0</v>
      </c>
      <c r="I59" s="501">
        <f t="shared" si="6"/>
        <v>0</v>
      </c>
      <c r="J59" s="501"/>
      <c r="K59" s="513"/>
      <c r="L59" s="505">
        <f t="shared" si="2"/>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9"/>
        <v>0</v>
      </c>
      <c r="F60" s="511">
        <f t="shared" si="10"/>
        <v>0</v>
      </c>
      <c r="G60" s="512">
        <f t="shared" si="11"/>
        <v>0</v>
      </c>
      <c r="H60" s="478">
        <f t="shared" si="12"/>
        <v>0</v>
      </c>
      <c r="I60" s="501">
        <f t="shared" si="6"/>
        <v>0</v>
      </c>
      <c r="J60" s="501"/>
      <c r="K60" s="513"/>
      <c r="L60" s="505">
        <f t="shared" si="2"/>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9"/>
        <v>0</v>
      </c>
      <c r="F61" s="511">
        <f t="shared" si="10"/>
        <v>0</v>
      </c>
      <c r="G61" s="512">
        <f t="shared" si="11"/>
        <v>0</v>
      </c>
      <c r="H61" s="478">
        <f t="shared" si="12"/>
        <v>0</v>
      </c>
      <c r="I61" s="501">
        <f t="shared" si="6"/>
        <v>0</v>
      </c>
      <c r="J61" s="501"/>
      <c r="K61" s="513"/>
      <c r="L61" s="505">
        <f t="shared" si="2"/>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9"/>
        <v>0</v>
      </c>
      <c r="F62" s="511">
        <f t="shared" si="10"/>
        <v>0</v>
      </c>
      <c r="G62" s="512">
        <f t="shared" si="11"/>
        <v>0</v>
      </c>
      <c r="H62" s="478">
        <f t="shared" si="12"/>
        <v>0</v>
      </c>
      <c r="I62" s="501">
        <f t="shared" si="6"/>
        <v>0</v>
      </c>
      <c r="J62" s="501"/>
      <c r="K62" s="513"/>
      <c r="L62" s="505">
        <f t="shared" si="2"/>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9"/>
        <v>0</v>
      </c>
      <c r="F63" s="511">
        <f t="shared" si="10"/>
        <v>0</v>
      </c>
      <c r="G63" s="512">
        <f t="shared" si="11"/>
        <v>0</v>
      </c>
      <c r="H63" s="478">
        <f t="shared" si="12"/>
        <v>0</v>
      </c>
      <c r="I63" s="501">
        <f t="shared" si="6"/>
        <v>0</v>
      </c>
      <c r="J63" s="501"/>
      <c r="K63" s="513"/>
      <c r="L63" s="505">
        <f t="shared" si="2"/>
        <v>0</v>
      </c>
      <c r="M63" s="513"/>
      <c r="N63" s="505">
        <f t="shared" si="4"/>
        <v>0</v>
      </c>
      <c r="O63" s="505">
        <f t="shared" si="5"/>
        <v>0</v>
      </c>
      <c r="P63" s="279"/>
      <c r="R63" s="244"/>
      <c r="S63" s="244"/>
      <c r="T63" s="244"/>
      <c r="U63" s="244"/>
    </row>
    <row r="64" spans="2:21" ht="12.5">
      <c r="B64" s="145" t="str">
        <f t="shared" si="0"/>
        <v/>
      </c>
      <c r="C64" s="496">
        <f>IF(D11="","-",+C63+1)</f>
        <v>2060</v>
      </c>
      <c r="D64" s="509">
        <f>IF(F63+SUM(E$17:E63)=D$10,F63,D$10-SUM(E$17:E63))</f>
        <v>0</v>
      </c>
      <c r="E64" s="510">
        <f t="shared" si="9"/>
        <v>0</v>
      </c>
      <c r="F64" s="511">
        <f t="shared" si="10"/>
        <v>0</v>
      </c>
      <c r="G64" s="512">
        <f t="shared" si="11"/>
        <v>0</v>
      </c>
      <c r="H64" s="478">
        <f t="shared" si="12"/>
        <v>0</v>
      </c>
      <c r="I64" s="501">
        <f t="shared" si="6"/>
        <v>0</v>
      </c>
      <c r="J64" s="501"/>
      <c r="K64" s="513"/>
      <c r="L64" s="505">
        <f t="shared" si="2"/>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9"/>
        <v>0</v>
      </c>
      <c r="F65" s="511">
        <f t="shared" si="10"/>
        <v>0</v>
      </c>
      <c r="G65" s="512">
        <f t="shared" si="11"/>
        <v>0</v>
      </c>
      <c r="H65" s="478">
        <f t="shared" si="12"/>
        <v>0</v>
      </c>
      <c r="I65" s="501">
        <f t="shared" si="6"/>
        <v>0</v>
      </c>
      <c r="J65" s="501"/>
      <c r="K65" s="513"/>
      <c r="L65" s="505">
        <f t="shared" si="2"/>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9"/>
        <v>0</v>
      </c>
      <c r="F66" s="511">
        <f t="shared" si="10"/>
        <v>0</v>
      </c>
      <c r="G66" s="512">
        <f t="shared" si="11"/>
        <v>0</v>
      </c>
      <c r="H66" s="478">
        <f t="shared" si="12"/>
        <v>0</v>
      </c>
      <c r="I66" s="501">
        <f t="shared" si="6"/>
        <v>0</v>
      </c>
      <c r="J66" s="501"/>
      <c r="K66" s="513"/>
      <c r="L66" s="505">
        <f t="shared" si="2"/>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9"/>
        <v>0</v>
      </c>
      <c r="F67" s="511">
        <f t="shared" si="10"/>
        <v>0</v>
      </c>
      <c r="G67" s="512">
        <f t="shared" si="11"/>
        <v>0</v>
      </c>
      <c r="H67" s="478">
        <f t="shared" si="12"/>
        <v>0</v>
      </c>
      <c r="I67" s="501">
        <f t="shared" si="6"/>
        <v>0</v>
      </c>
      <c r="J67" s="501"/>
      <c r="K67" s="513"/>
      <c r="L67" s="505">
        <f t="shared" si="2"/>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9"/>
        <v>0</v>
      </c>
      <c r="F68" s="511">
        <f t="shared" si="10"/>
        <v>0</v>
      </c>
      <c r="G68" s="512">
        <f t="shared" si="11"/>
        <v>0</v>
      </c>
      <c r="H68" s="478">
        <f t="shared" si="12"/>
        <v>0</v>
      </c>
      <c r="I68" s="501">
        <f t="shared" si="6"/>
        <v>0</v>
      </c>
      <c r="J68" s="501"/>
      <c r="K68" s="513"/>
      <c r="L68" s="505">
        <f t="shared" si="2"/>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9"/>
        <v>0</v>
      </c>
      <c r="F69" s="511">
        <f t="shared" si="10"/>
        <v>0</v>
      </c>
      <c r="G69" s="512">
        <f t="shared" si="11"/>
        <v>0</v>
      </c>
      <c r="H69" s="478">
        <f t="shared" si="12"/>
        <v>0</v>
      </c>
      <c r="I69" s="501">
        <f t="shared" si="6"/>
        <v>0</v>
      </c>
      <c r="J69" s="501"/>
      <c r="K69" s="513"/>
      <c r="L69" s="505">
        <f t="shared" si="2"/>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9"/>
        <v>0</v>
      </c>
      <c r="F70" s="511">
        <f t="shared" si="10"/>
        <v>0</v>
      </c>
      <c r="G70" s="512">
        <f t="shared" si="11"/>
        <v>0</v>
      </c>
      <c r="H70" s="478">
        <f t="shared" si="12"/>
        <v>0</v>
      </c>
      <c r="I70" s="501">
        <f t="shared" si="6"/>
        <v>0</v>
      </c>
      <c r="J70" s="501"/>
      <c r="K70" s="513"/>
      <c r="L70" s="505">
        <f t="shared" si="2"/>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9"/>
        <v>0</v>
      </c>
      <c r="F71" s="511">
        <f t="shared" si="10"/>
        <v>0</v>
      </c>
      <c r="G71" s="512">
        <f t="shared" si="11"/>
        <v>0</v>
      </c>
      <c r="H71" s="478">
        <f t="shared" si="12"/>
        <v>0</v>
      </c>
      <c r="I71" s="501">
        <f t="shared" si="6"/>
        <v>0</v>
      </c>
      <c r="J71" s="501"/>
      <c r="K71" s="513"/>
      <c r="L71" s="505">
        <f t="shared" si="2"/>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9"/>
        <v>0</v>
      </c>
      <c r="F72" s="511">
        <f t="shared" si="10"/>
        <v>0</v>
      </c>
      <c r="G72" s="512">
        <f t="shared" si="11"/>
        <v>0</v>
      </c>
      <c r="H72" s="478">
        <f t="shared" si="12"/>
        <v>0</v>
      </c>
      <c r="I72" s="501">
        <f t="shared" si="6"/>
        <v>0</v>
      </c>
      <c r="J72" s="501"/>
      <c r="K72" s="513"/>
      <c r="L72" s="505">
        <f t="shared" si="2"/>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9"/>
        <v>0</v>
      </c>
      <c r="F73" s="528">
        <f t="shared" si="10"/>
        <v>0</v>
      </c>
      <c r="G73" s="528">
        <f t="shared" si="11"/>
        <v>0</v>
      </c>
      <c r="H73" s="528">
        <f t="shared" si="12"/>
        <v>0</v>
      </c>
      <c r="I73" s="530">
        <f t="shared" si="6"/>
        <v>0</v>
      </c>
      <c r="J73" s="501"/>
      <c r="K73" s="531"/>
      <c r="L73" s="532">
        <f t="shared" si="2"/>
        <v>0</v>
      </c>
      <c r="M73" s="531"/>
      <c r="N73" s="532">
        <f t="shared" si="4"/>
        <v>0</v>
      </c>
      <c r="O73" s="532">
        <f t="shared" si="5"/>
        <v>0</v>
      </c>
      <c r="P73" s="279"/>
      <c r="R73" s="244"/>
      <c r="S73" s="244"/>
      <c r="T73" s="244"/>
      <c r="U73" s="244"/>
    </row>
    <row r="74" spans="2:21" ht="12.5">
      <c r="C74" s="350" t="s">
        <v>75</v>
      </c>
      <c r="D74" s="295"/>
      <c r="E74" s="295">
        <f>SUM(E17:E73)</f>
        <v>0</v>
      </c>
      <c r="F74" s="295"/>
      <c r="G74" s="295">
        <f>SUM(G17:G73)</f>
        <v>1851921.0971995238</v>
      </c>
      <c r="H74" s="295">
        <f>SUM(H17:H73)</f>
        <v>1851921.0971995238</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13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634" t="s">
        <v>267</v>
      </c>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Ellis 138 kV</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TP2012055</v>
      </c>
      <c r="E92" s="559"/>
      <c r="F92" s="559"/>
      <c r="G92" s="559"/>
      <c r="H92" s="559"/>
      <c r="I92" s="559"/>
      <c r="J92" s="559"/>
      <c r="K92" s="561"/>
      <c r="P92" s="469"/>
      <c r="Q92" s="244"/>
      <c r="R92" s="244"/>
      <c r="S92" s="244"/>
      <c r="T92" s="244"/>
      <c r="U92" s="244"/>
    </row>
    <row r="93" spans="1:21" ht="13">
      <c r="C93" s="473" t="s">
        <v>49</v>
      </c>
      <c r="D93" s="471">
        <v>0</v>
      </c>
      <c r="E93" s="249" t="s">
        <v>84</v>
      </c>
      <c r="H93" s="409"/>
      <c r="I93" s="409"/>
      <c r="J93" s="472">
        <f>+'OKT.WS.G.BPU.ATRR.True-up'!M16</f>
        <v>2020</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10</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3">IF(L100&lt;&gt;0,+H100-L100,0)</f>
        <v>0</v>
      </c>
      <c r="N100" s="502"/>
      <c r="O100" s="504">
        <f t="shared" ref="O100:O131" si="14">IF(N100&lt;&gt;0,+I100-N100,0)</f>
        <v>0</v>
      </c>
      <c r="P100" s="504">
        <f t="shared" ref="P100:P131" si="15">+O100-M100</f>
        <v>0</v>
      </c>
      <c r="Q100" s="244"/>
      <c r="R100" s="244"/>
      <c r="S100" s="244"/>
      <c r="T100" s="244"/>
      <c r="U100" s="244"/>
    </row>
    <row r="101" spans="1:21" ht="12.5">
      <c r="C101" s="496">
        <f>IF(D94="","-",+C100+1)</f>
        <v>2014</v>
      </c>
      <c r="D101" s="350"/>
      <c r="E101" s="510"/>
      <c r="F101" s="511"/>
      <c r="G101" s="511"/>
      <c r="H101" s="627"/>
      <c r="I101" s="628"/>
      <c r="J101" s="505"/>
      <c r="K101" s="505"/>
      <c r="L101" s="507"/>
      <c r="M101" s="508">
        <f t="shared" si="13"/>
        <v>0</v>
      </c>
      <c r="N101" s="507"/>
      <c r="O101" s="505">
        <f t="shared" si="14"/>
        <v>0</v>
      </c>
      <c r="P101" s="505">
        <f t="shared" si="15"/>
        <v>0</v>
      </c>
      <c r="Q101" s="244"/>
      <c r="R101" s="244"/>
      <c r="S101" s="244"/>
      <c r="T101" s="244"/>
      <c r="U101" s="244"/>
    </row>
    <row r="102" spans="1:21" ht="12.5">
      <c r="B102" s="145" t="str">
        <f t="shared" ref="B102:B155" si="16">IF(D102=F101,"","IU")</f>
        <v>IU</v>
      </c>
      <c r="C102" s="496">
        <f>IF(D94="","-",+C101+1)</f>
        <v>2015</v>
      </c>
      <c r="D102" s="497">
        <v>4004216.6870407565</v>
      </c>
      <c r="E102" s="499">
        <v>85139.5</v>
      </c>
      <c r="F102" s="506">
        <v>3919077.1870407565</v>
      </c>
      <c r="G102" s="506">
        <v>3961646.9370407565</v>
      </c>
      <c r="H102" s="499">
        <v>526187.38978732098</v>
      </c>
      <c r="I102" s="500">
        <v>526187.38978732098</v>
      </c>
      <c r="J102" s="505">
        <v>0</v>
      </c>
      <c r="K102" s="505"/>
      <c r="L102" s="507">
        <f>H102</f>
        <v>526187.38978732098</v>
      </c>
      <c r="M102" s="505">
        <f>IF(L102&lt;&gt;0,+H102-L102,0)</f>
        <v>0</v>
      </c>
      <c r="N102" s="507">
        <f>I102</f>
        <v>526187.38978732098</v>
      </c>
      <c r="O102" s="505">
        <f t="shared" si="14"/>
        <v>0</v>
      </c>
      <c r="P102" s="505">
        <f t="shared" si="15"/>
        <v>0</v>
      </c>
      <c r="Q102" s="244"/>
      <c r="R102" s="244"/>
      <c r="S102" s="244"/>
      <c r="T102" s="244"/>
      <c r="U102" s="244"/>
    </row>
    <row r="103" spans="1:21" ht="12.5">
      <c r="B103" s="145" t="str">
        <f t="shared" si="16"/>
        <v>IU</v>
      </c>
      <c r="C103" s="496">
        <f>IF(D94="","-",+C102+1)</f>
        <v>2016</v>
      </c>
      <c r="D103" s="497">
        <v>4714898.5</v>
      </c>
      <c r="E103" s="499">
        <v>94118.392156862741</v>
      </c>
      <c r="F103" s="506">
        <v>4620780.1078431373</v>
      </c>
      <c r="G103" s="506">
        <v>4667839.3039215691</v>
      </c>
      <c r="H103" s="499">
        <v>599969.61415819218</v>
      </c>
      <c r="I103" s="500">
        <v>599969.61415819218</v>
      </c>
      <c r="J103" s="505">
        <f>+I103-H103</f>
        <v>0</v>
      </c>
      <c r="K103" s="505"/>
      <c r="L103" s="507">
        <f>H103</f>
        <v>599969.61415819218</v>
      </c>
      <c r="M103" s="505">
        <f>IF(L103&lt;&gt;0,+H103-L103,0)</f>
        <v>0</v>
      </c>
      <c r="N103" s="507">
        <f>I103</f>
        <v>599969.61415819218</v>
      </c>
      <c r="O103" s="505">
        <f>IF(N103&lt;&gt;0,+I103-N103,0)</f>
        <v>0</v>
      </c>
      <c r="P103" s="505">
        <f>+O103-M103</f>
        <v>0</v>
      </c>
      <c r="Q103" s="244"/>
      <c r="R103" s="244"/>
      <c r="S103" s="244"/>
      <c r="T103" s="244"/>
      <c r="U103" s="244"/>
    </row>
    <row r="104" spans="1:21" ht="12.5">
      <c r="B104" s="145" t="str">
        <f t="shared" si="16"/>
        <v>IU</v>
      </c>
      <c r="C104" s="496">
        <f>IF(D94="","-",+C103+1)</f>
        <v>2017</v>
      </c>
      <c r="D104" s="497">
        <v>4637856.1078431373</v>
      </c>
      <c r="E104" s="499">
        <v>120427.85</v>
      </c>
      <c r="F104" s="506">
        <v>4517428.2578431377</v>
      </c>
      <c r="G104" s="506">
        <v>4577642.1828431375</v>
      </c>
      <c r="H104" s="499">
        <v>657549.4515750818</v>
      </c>
      <c r="I104" s="500">
        <v>657549.4515750818</v>
      </c>
      <c r="J104" s="505">
        <v>0</v>
      </c>
      <c r="K104" s="505"/>
      <c r="L104" s="507">
        <f>H104</f>
        <v>657549.4515750818</v>
      </c>
      <c r="M104" s="505">
        <f>IF(L104&lt;&gt;0,+H104-L104,0)</f>
        <v>0</v>
      </c>
      <c r="N104" s="507">
        <f>I104</f>
        <v>657549.4515750818</v>
      </c>
      <c r="O104" s="505">
        <f>IF(N104&lt;&gt;0,+I104-N104,0)</f>
        <v>0</v>
      </c>
      <c r="P104" s="505">
        <f>+O104-M104</f>
        <v>0</v>
      </c>
      <c r="Q104" s="244"/>
      <c r="R104" s="244"/>
      <c r="S104" s="244"/>
      <c r="T104" s="244"/>
      <c r="U104" s="244"/>
    </row>
    <row r="105" spans="1:21" ht="12.5">
      <c r="B105" s="145" t="str">
        <f t="shared" si="16"/>
        <v/>
      </c>
      <c r="C105" s="496">
        <f>IF(D94="","-",+C104+1)</f>
        <v>2018</v>
      </c>
      <c r="D105" s="497">
        <v>4517428.2578431377</v>
      </c>
      <c r="E105" s="499">
        <v>133808.72222222222</v>
      </c>
      <c r="F105" s="506">
        <v>4383619.5356209157</v>
      </c>
      <c r="G105" s="506">
        <v>4450523.8967320267</v>
      </c>
      <c r="H105" s="499">
        <v>603616.92453524831</v>
      </c>
      <c r="I105" s="500">
        <v>603616.92453524831</v>
      </c>
      <c r="J105" s="505">
        <f t="shared" ref="J105:J155" si="17">+I105-H105</f>
        <v>0</v>
      </c>
      <c r="K105" s="505"/>
      <c r="L105" s="507">
        <f>H105</f>
        <v>603616.92453524831</v>
      </c>
      <c r="M105" s="505">
        <f>IF(L105&lt;&gt;0,+H105-L105,0)</f>
        <v>0</v>
      </c>
      <c r="N105" s="507">
        <f>I105</f>
        <v>603616.92453524831</v>
      </c>
      <c r="O105" s="505">
        <f>IF(N105&lt;&gt;0,+I105-N105,0)</f>
        <v>0</v>
      </c>
      <c r="P105" s="505">
        <f>+O105-M105</f>
        <v>0</v>
      </c>
      <c r="Q105" s="244"/>
      <c r="R105" s="244"/>
      <c r="S105" s="244"/>
      <c r="T105" s="244"/>
      <c r="U105" s="244"/>
    </row>
    <row r="106" spans="1:21" ht="12.5">
      <c r="B106" s="145" t="str">
        <f t="shared" si="16"/>
        <v>IU</v>
      </c>
      <c r="C106" s="496">
        <f>IF(D94="","-",+C105+1)</f>
        <v>2019</v>
      </c>
      <c r="D106" s="497"/>
      <c r="E106" s="499"/>
      <c r="F106" s="506"/>
      <c r="G106" s="506"/>
      <c r="H106" s="499"/>
      <c r="I106" s="500"/>
      <c r="J106" s="505">
        <f t="shared" si="17"/>
        <v>0</v>
      </c>
      <c r="K106" s="505"/>
      <c r="L106" s="507">
        <f>H106</f>
        <v>0</v>
      </c>
      <c r="M106" s="505">
        <f>IF(L106&lt;&gt;0,+H106-L106,0)</f>
        <v>0</v>
      </c>
      <c r="N106" s="507">
        <f>I106</f>
        <v>0</v>
      </c>
      <c r="O106" s="505">
        <f t="shared" si="14"/>
        <v>0</v>
      </c>
      <c r="P106" s="505">
        <f t="shared" si="15"/>
        <v>0</v>
      </c>
      <c r="Q106" s="244"/>
      <c r="R106" s="244"/>
      <c r="S106" s="244"/>
      <c r="T106" s="244"/>
      <c r="U106" s="244"/>
    </row>
    <row r="107" spans="1:21" ht="12.5">
      <c r="B107" s="145" t="str">
        <f t="shared" si="16"/>
        <v/>
      </c>
      <c r="C107" s="496">
        <f>IF(D94="","-",+C106+1)</f>
        <v>2020</v>
      </c>
      <c r="D107" s="350"/>
      <c r="E107" s="629"/>
      <c r="F107" s="511"/>
      <c r="G107" s="511"/>
      <c r="H107" s="646"/>
      <c r="I107" s="630"/>
      <c r="J107" s="505">
        <f t="shared" si="17"/>
        <v>0</v>
      </c>
      <c r="K107" s="505"/>
      <c r="L107" s="513"/>
      <c r="M107" s="505">
        <f t="shared" si="13"/>
        <v>0</v>
      </c>
      <c r="N107" s="513"/>
      <c r="O107" s="505">
        <f t="shared" si="14"/>
        <v>0</v>
      </c>
      <c r="P107" s="505">
        <f t="shared" si="15"/>
        <v>0</v>
      </c>
      <c r="Q107" s="244"/>
      <c r="R107" s="244"/>
      <c r="S107" s="244"/>
      <c r="T107" s="244"/>
      <c r="U107" s="244"/>
    </row>
    <row r="108" spans="1:21" ht="12.5">
      <c r="B108" s="145" t="str">
        <f t="shared" si="16"/>
        <v/>
      </c>
      <c r="C108" s="496">
        <f>IF(D94="","-",+C107+1)</f>
        <v>2021</v>
      </c>
      <c r="D108" s="350"/>
      <c r="E108" s="629"/>
      <c r="F108" s="511"/>
      <c r="G108" s="511"/>
      <c r="H108" s="646"/>
      <c r="I108" s="630"/>
      <c r="J108" s="505">
        <f t="shared" si="17"/>
        <v>0</v>
      </c>
      <c r="K108" s="505"/>
      <c r="L108" s="513"/>
      <c r="M108" s="505">
        <f t="shared" si="13"/>
        <v>0</v>
      </c>
      <c r="N108" s="513"/>
      <c r="O108" s="505">
        <f t="shared" si="14"/>
        <v>0</v>
      </c>
      <c r="P108" s="505">
        <f t="shared" si="15"/>
        <v>0</v>
      </c>
      <c r="Q108" s="244"/>
      <c r="R108" s="244"/>
      <c r="S108" s="244"/>
      <c r="T108" s="244"/>
      <c r="U108" s="244"/>
    </row>
    <row r="109" spans="1:21" ht="12.5">
      <c r="B109" s="145" t="str">
        <f t="shared" si="16"/>
        <v/>
      </c>
      <c r="C109" s="496">
        <f>IF(D94="","-",+C108+1)</f>
        <v>2022</v>
      </c>
      <c r="D109" s="350"/>
      <c r="E109" s="629"/>
      <c r="F109" s="511"/>
      <c r="G109" s="511"/>
      <c r="H109" s="646"/>
      <c r="I109" s="630"/>
      <c r="J109" s="505">
        <f t="shared" si="17"/>
        <v>0</v>
      </c>
      <c r="K109" s="505"/>
      <c r="L109" s="513"/>
      <c r="M109" s="505">
        <f t="shared" si="13"/>
        <v>0</v>
      </c>
      <c r="N109" s="513"/>
      <c r="O109" s="505">
        <f t="shared" si="14"/>
        <v>0</v>
      </c>
      <c r="P109" s="505">
        <f t="shared" si="15"/>
        <v>0</v>
      </c>
      <c r="Q109" s="244"/>
      <c r="R109" s="244"/>
      <c r="S109" s="244"/>
      <c r="T109" s="244"/>
      <c r="U109" s="244"/>
    </row>
    <row r="110" spans="1:21" ht="12.5">
      <c r="B110" s="145" t="str">
        <f t="shared" si="16"/>
        <v/>
      </c>
      <c r="C110" s="496">
        <f>IF(D94="","-",+C109+1)</f>
        <v>2023</v>
      </c>
      <c r="D110" s="350"/>
      <c r="E110" s="629"/>
      <c r="F110" s="511"/>
      <c r="G110" s="511"/>
      <c r="H110" s="646"/>
      <c r="I110" s="630"/>
      <c r="J110" s="505">
        <f t="shared" si="17"/>
        <v>0</v>
      </c>
      <c r="K110" s="505"/>
      <c r="L110" s="513"/>
      <c r="M110" s="505">
        <f t="shared" si="13"/>
        <v>0</v>
      </c>
      <c r="N110" s="513"/>
      <c r="O110" s="505">
        <f t="shared" si="14"/>
        <v>0</v>
      </c>
      <c r="P110" s="505">
        <f t="shared" si="15"/>
        <v>0</v>
      </c>
      <c r="Q110" s="244"/>
      <c r="R110" s="244"/>
      <c r="S110" s="244"/>
      <c r="T110" s="244"/>
      <c r="U110" s="244"/>
    </row>
    <row r="111" spans="1:21" ht="12.5">
      <c r="B111" s="145" t="str">
        <f t="shared" si="16"/>
        <v/>
      </c>
      <c r="C111" s="496">
        <f>IF(D94="","-",+C110+1)</f>
        <v>2024</v>
      </c>
      <c r="D111" s="350"/>
      <c r="E111" s="629"/>
      <c r="F111" s="511"/>
      <c r="G111" s="511"/>
      <c r="H111" s="646"/>
      <c r="I111" s="630"/>
      <c r="J111" s="505">
        <f t="shared" si="17"/>
        <v>0</v>
      </c>
      <c r="K111" s="505"/>
      <c r="L111" s="513"/>
      <c r="M111" s="505">
        <f t="shared" si="13"/>
        <v>0</v>
      </c>
      <c r="N111" s="513"/>
      <c r="O111" s="505">
        <f t="shared" si="14"/>
        <v>0</v>
      </c>
      <c r="P111" s="505">
        <f t="shared" si="15"/>
        <v>0</v>
      </c>
      <c r="Q111" s="244"/>
      <c r="R111" s="244"/>
      <c r="S111" s="244"/>
      <c r="T111" s="244"/>
      <c r="U111" s="244"/>
    </row>
    <row r="112" spans="1:21" ht="12.5">
      <c r="B112" s="145" t="str">
        <f t="shared" si="16"/>
        <v/>
      </c>
      <c r="C112" s="496">
        <f>IF(D94="","-",+C111+1)</f>
        <v>2025</v>
      </c>
      <c r="D112" s="350"/>
      <c r="E112" s="629"/>
      <c r="F112" s="511"/>
      <c r="G112" s="511"/>
      <c r="H112" s="646"/>
      <c r="I112" s="630"/>
      <c r="J112" s="505">
        <f t="shared" si="17"/>
        <v>0</v>
      </c>
      <c r="K112" s="505"/>
      <c r="L112" s="513"/>
      <c r="M112" s="505">
        <f t="shared" si="13"/>
        <v>0</v>
      </c>
      <c r="N112" s="513"/>
      <c r="O112" s="505">
        <f t="shared" si="14"/>
        <v>0</v>
      </c>
      <c r="P112" s="505">
        <f t="shared" si="15"/>
        <v>0</v>
      </c>
      <c r="Q112" s="244"/>
      <c r="R112" s="244"/>
      <c r="S112" s="244"/>
      <c r="T112" s="244"/>
      <c r="U112" s="244"/>
    </row>
    <row r="113" spans="2:21" ht="12.5">
      <c r="B113" s="145" t="str">
        <f t="shared" si="16"/>
        <v/>
      </c>
      <c r="C113" s="496">
        <f>IF(D94="","-",+C112+1)</f>
        <v>2026</v>
      </c>
      <c r="D113" s="350"/>
      <c r="E113" s="629"/>
      <c r="F113" s="511"/>
      <c r="G113" s="511"/>
      <c r="H113" s="646"/>
      <c r="I113" s="630"/>
      <c r="J113" s="505">
        <f t="shared" si="17"/>
        <v>0</v>
      </c>
      <c r="K113" s="505"/>
      <c r="L113" s="513"/>
      <c r="M113" s="505">
        <f t="shared" si="13"/>
        <v>0</v>
      </c>
      <c r="N113" s="513"/>
      <c r="O113" s="505">
        <f t="shared" si="14"/>
        <v>0</v>
      </c>
      <c r="P113" s="505">
        <f t="shared" si="15"/>
        <v>0</v>
      </c>
      <c r="Q113" s="244"/>
      <c r="R113" s="244"/>
      <c r="S113" s="244"/>
      <c r="T113" s="244"/>
      <c r="U113" s="244"/>
    </row>
    <row r="114" spans="2:21" ht="12.5">
      <c r="B114" s="145" t="str">
        <f t="shared" si="16"/>
        <v/>
      </c>
      <c r="C114" s="496">
        <f>IF(D94="","-",+C113+1)</f>
        <v>2027</v>
      </c>
      <c r="D114" s="350"/>
      <c r="E114" s="629"/>
      <c r="F114" s="511"/>
      <c r="G114" s="511"/>
      <c r="H114" s="646"/>
      <c r="I114" s="630"/>
      <c r="J114" s="505">
        <f t="shared" si="17"/>
        <v>0</v>
      </c>
      <c r="K114" s="505"/>
      <c r="L114" s="513"/>
      <c r="M114" s="505">
        <f t="shared" si="13"/>
        <v>0</v>
      </c>
      <c r="N114" s="513"/>
      <c r="O114" s="505">
        <f t="shared" si="14"/>
        <v>0</v>
      </c>
      <c r="P114" s="505">
        <f t="shared" si="15"/>
        <v>0</v>
      </c>
      <c r="Q114" s="244"/>
      <c r="R114" s="244"/>
      <c r="S114" s="244"/>
      <c r="T114" s="244"/>
      <c r="U114" s="244"/>
    </row>
    <row r="115" spans="2:21" ht="12.5">
      <c r="B115" s="145" t="str">
        <f t="shared" si="16"/>
        <v/>
      </c>
      <c r="C115" s="496">
        <f>IF(D94="","-",+C114+1)</f>
        <v>2028</v>
      </c>
      <c r="D115" s="350"/>
      <c r="E115" s="629"/>
      <c r="F115" s="511"/>
      <c r="G115" s="511"/>
      <c r="H115" s="646"/>
      <c r="I115" s="630"/>
      <c r="J115" s="505">
        <f t="shared" si="17"/>
        <v>0</v>
      </c>
      <c r="K115" s="505"/>
      <c r="L115" s="513"/>
      <c r="M115" s="505">
        <f t="shared" si="13"/>
        <v>0</v>
      </c>
      <c r="N115" s="513"/>
      <c r="O115" s="505">
        <f t="shared" si="14"/>
        <v>0</v>
      </c>
      <c r="P115" s="505">
        <f t="shared" si="15"/>
        <v>0</v>
      </c>
      <c r="Q115" s="244"/>
      <c r="R115" s="244"/>
      <c r="S115" s="244"/>
      <c r="T115" s="244"/>
      <c r="U115" s="244"/>
    </row>
    <row r="116" spans="2:21" ht="12.5">
      <c r="B116" s="145" t="str">
        <f t="shared" si="16"/>
        <v/>
      </c>
      <c r="C116" s="496">
        <f>IF(D94="","-",+C115+1)</f>
        <v>2029</v>
      </c>
      <c r="D116" s="350"/>
      <c r="E116" s="629"/>
      <c r="F116" s="511"/>
      <c r="G116" s="511"/>
      <c r="H116" s="646"/>
      <c r="I116" s="630"/>
      <c r="J116" s="505">
        <f t="shared" si="17"/>
        <v>0</v>
      </c>
      <c r="K116" s="505"/>
      <c r="L116" s="513"/>
      <c r="M116" s="505">
        <f t="shared" si="13"/>
        <v>0</v>
      </c>
      <c r="N116" s="513"/>
      <c r="O116" s="505">
        <f t="shared" si="14"/>
        <v>0</v>
      </c>
      <c r="P116" s="505">
        <f t="shared" si="15"/>
        <v>0</v>
      </c>
      <c r="Q116" s="244"/>
      <c r="R116" s="244"/>
      <c r="S116" s="244"/>
      <c r="T116" s="244"/>
      <c r="U116" s="244"/>
    </row>
    <row r="117" spans="2:21" ht="12.5">
      <c r="B117" s="145" t="str">
        <f t="shared" si="16"/>
        <v/>
      </c>
      <c r="C117" s="496">
        <f>IF(D94="","-",+C116+1)</f>
        <v>2030</v>
      </c>
      <c r="D117" s="350"/>
      <c r="E117" s="629"/>
      <c r="F117" s="511"/>
      <c r="G117" s="511"/>
      <c r="H117" s="646"/>
      <c r="I117" s="630"/>
      <c r="J117" s="505">
        <f t="shared" si="17"/>
        <v>0</v>
      </c>
      <c r="K117" s="505"/>
      <c r="L117" s="513"/>
      <c r="M117" s="505">
        <f t="shared" si="13"/>
        <v>0</v>
      </c>
      <c r="N117" s="513"/>
      <c r="O117" s="505">
        <f t="shared" si="14"/>
        <v>0</v>
      </c>
      <c r="P117" s="505">
        <f t="shared" si="15"/>
        <v>0</v>
      </c>
      <c r="Q117" s="244"/>
      <c r="R117" s="244"/>
      <c r="S117" s="244"/>
      <c r="T117" s="244"/>
      <c r="U117" s="244"/>
    </row>
    <row r="118" spans="2:21" ht="12.5">
      <c r="B118" s="145" t="str">
        <f t="shared" si="16"/>
        <v/>
      </c>
      <c r="C118" s="496">
        <f>IF(D94="","-",+C117+1)</f>
        <v>2031</v>
      </c>
      <c r="D118" s="350"/>
      <c r="E118" s="629"/>
      <c r="F118" s="511"/>
      <c r="G118" s="511"/>
      <c r="H118" s="646"/>
      <c r="I118" s="630"/>
      <c r="J118" s="505">
        <f t="shared" si="17"/>
        <v>0</v>
      </c>
      <c r="K118" s="505"/>
      <c r="L118" s="513"/>
      <c r="M118" s="505">
        <f t="shared" si="13"/>
        <v>0</v>
      </c>
      <c r="N118" s="513"/>
      <c r="O118" s="505">
        <f t="shared" si="14"/>
        <v>0</v>
      </c>
      <c r="P118" s="505">
        <f t="shared" si="15"/>
        <v>0</v>
      </c>
      <c r="Q118" s="244"/>
      <c r="R118" s="244"/>
      <c r="S118" s="244"/>
      <c r="T118" s="244"/>
      <c r="U118" s="244"/>
    </row>
    <row r="119" spans="2:21" ht="12.5">
      <c r="B119" s="145" t="str">
        <f t="shared" si="16"/>
        <v/>
      </c>
      <c r="C119" s="496">
        <f>IF(D94="","-",+C118+1)</f>
        <v>2032</v>
      </c>
      <c r="D119" s="350"/>
      <c r="E119" s="629"/>
      <c r="F119" s="511"/>
      <c r="G119" s="511"/>
      <c r="H119" s="646"/>
      <c r="I119" s="630"/>
      <c r="J119" s="505">
        <f t="shared" si="17"/>
        <v>0</v>
      </c>
      <c r="K119" s="505"/>
      <c r="L119" s="513"/>
      <c r="M119" s="505">
        <f t="shared" si="13"/>
        <v>0</v>
      </c>
      <c r="N119" s="513"/>
      <c r="O119" s="505">
        <f t="shared" si="14"/>
        <v>0</v>
      </c>
      <c r="P119" s="505">
        <f t="shared" si="15"/>
        <v>0</v>
      </c>
      <c r="Q119" s="244"/>
      <c r="R119" s="244"/>
      <c r="S119" s="244"/>
      <c r="T119" s="244"/>
      <c r="U119" s="244"/>
    </row>
    <row r="120" spans="2:21" ht="12.5">
      <c r="B120" s="145" t="str">
        <f t="shared" si="16"/>
        <v/>
      </c>
      <c r="C120" s="496">
        <f>IF(D94="","-",+C119+1)</f>
        <v>2033</v>
      </c>
      <c r="D120" s="350"/>
      <c r="E120" s="629"/>
      <c r="F120" s="511"/>
      <c r="G120" s="511"/>
      <c r="H120" s="646"/>
      <c r="I120" s="630"/>
      <c r="J120" s="505">
        <f t="shared" si="17"/>
        <v>0</v>
      </c>
      <c r="K120" s="505"/>
      <c r="L120" s="513"/>
      <c r="M120" s="505">
        <f t="shared" si="13"/>
        <v>0</v>
      </c>
      <c r="N120" s="513"/>
      <c r="O120" s="505">
        <f t="shared" si="14"/>
        <v>0</v>
      </c>
      <c r="P120" s="505">
        <f t="shared" si="15"/>
        <v>0</v>
      </c>
      <c r="Q120" s="244"/>
      <c r="R120" s="244"/>
      <c r="S120" s="244"/>
      <c r="T120" s="244"/>
      <c r="U120" s="244"/>
    </row>
    <row r="121" spans="2:21" ht="12.5">
      <c r="B121" s="145" t="str">
        <f t="shared" si="16"/>
        <v/>
      </c>
      <c r="C121" s="496">
        <f>IF(D94="","-",+C120+1)</f>
        <v>2034</v>
      </c>
      <c r="D121" s="350"/>
      <c r="E121" s="629"/>
      <c r="F121" s="511"/>
      <c r="G121" s="511"/>
      <c r="H121" s="646"/>
      <c r="I121" s="630"/>
      <c r="J121" s="505">
        <f t="shared" si="17"/>
        <v>0</v>
      </c>
      <c r="K121" s="505"/>
      <c r="L121" s="513"/>
      <c r="M121" s="505">
        <f t="shared" si="13"/>
        <v>0</v>
      </c>
      <c r="N121" s="513"/>
      <c r="O121" s="505">
        <f t="shared" si="14"/>
        <v>0</v>
      </c>
      <c r="P121" s="505">
        <f t="shared" si="15"/>
        <v>0</v>
      </c>
      <c r="Q121" s="244"/>
      <c r="R121" s="244"/>
      <c r="S121" s="244"/>
      <c r="T121" s="244"/>
      <c r="U121" s="244"/>
    </row>
    <row r="122" spans="2:21" ht="12.5">
      <c r="B122" s="145" t="str">
        <f t="shared" si="16"/>
        <v/>
      </c>
      <c r="C122" s="496">
        <f>IF(D94="","-",+C121+1)</f>
        <v>2035</v>
      </c>
      <c r="D122" s="350"/>
      <c r="E122" s="629"/>
      <c r="F122" s="511"/>
      <c r="G122" s="511"/>
      <c r="H122" s="646"/>
      <c r="I122" s="630"/>
      <c r="J122" s="505">
        <f t="shared" si="17"/>
        <v>0</v>
      </c>
      <c r="K122" s="505"/>
      <c r="L122" s="513"/>
      <c r="M122" s="505">
        <f t="shared" si="13"/>
        <v>0</v>
      </c>
      <c r="N122" s="513"/>
      <c r="O122" s="505">
        <f t="shared" si="14"/>
        <v>0</v>
      </c>
      <c r="P122" s="505">
        <f t="shared" si="15"/>
        <v>0</v>
      </c>
      <c r="Q122" s="244"/>
      <c r="R122" s="244"/>
      <c r="S122" s="244"/>
      <c r="T122" s="244"/>
      <c r="U122" s="244"/>
    </row>
    <row r="123" spans="2:21" ht="12.5">
      <c r="B123" s="145" t="str">
        <f t="shared" si="16"/>
        <v/>
      </c>
      <c r="C123" s="496">
        <f>IF(D94="","-",+C122+1)</f>
        <v>2036</v>
      </c>
      <c r="D123" s="350"/>
      <c r="E123" s="629"/>
      <c r="F123" s="511"/>
      <c r="G123" s="511"/>
      <c r="H123" s="646"/>
      <c r="I123" s="630"/>
      <c r="J123" s="505">
        <f t="shared" si="17"/>
        <v>0</v>
      </c>
      <c r="K123" s="505"/>
      <c r="L123" s="513"/>
      <c r="M123" s="505">
        <f t="shared" si="13"/>
        <v>0</v>
      </c>
      <c r="N123" s="513"/>
      <c r="O123" s="505">
        <f t="shared" si="14"/>
        <v>0</v>
      </c>
      <c r="P123" s="505">
        <f t="shared" si="15"/>
        <v>0</v>
      </c>
      <c r="Q123" s="244"/>
      <c r="R123" s="244"/>
      <c r="S123" s="244"/>
      <c r="T123" s="244"/>
      <c r="U123" s="244"/>
    </row>
    <row r="124" spans="2:21" ht="12.5">
      <c r="B124" s="145" t="str">
        <f t="shared" si="16"/>
        <v/>
      </c>
      <c r="C124" s="496">
        <f>IF(D94="","-",+C123+1)</f>
        <v>2037</v>
      </c>
      <c r="D124" s="350"/>
      <c r="E124" s="629"/>
      <c r="F124" s="511"/>
      <c r="G124" s="511"/>
      <c r="H124" s="646"/>
      <c r="I124" s="630"/>
      <c r="J124" s="505">
        <f t="shared" si="17"/>
        <v>0</v>
      </c>
      <c r="K124" s="505"/>
      <c r="L124" s="513"/>
      <c r="M124" s="505">
        <f t="shared" si="13"/>
        <v>0</v>
      </c>
      <c r="N124" s="513"/>
      <c r="O124" s="505">
        <f t="shared" si="14"/>
        <v>0</v>
      </c>
      <c r="P124" s="505">
        <f t="shared" si="15"/>
        <v>0</v>
      </c>
      <c r="Q124" s="244"/>
      <c r="R124" s="244"/>
      <c r="S124" s="244"/>
      <c r="T124" s="244"/>
      <c r="U124" s="244"/>
    </row>
    <row r="125" spans="2:21" ht="12.5">
      <c r="B125" s="145" t="str">
        <f t="shared" si="16"/>
        <v/>
      </c>
      <c r="C125" s="496">
        <f>IF(D94="","-",+C124+1)</f>
        <v>2038</v>
      </c>
      <c r="D125" s="350"/>
      <c r="E125" s="629"/>
      <c r="F125" s="511"/>
      <c r="G125" s="511"/>
      <c r="H125" s="646"/>
      <c r="I125" s="630"/>
      <c r="J125" s="505">
        <f t="shared" si="17"/>
        <v>0</v>
      </c>
      <c r="K125" s="505"/>
      <c r="L125" s="513"/>
      <c r="M125" s="505">
        <f t="shared" si="13"/>
        <v>0</v>
      </c>
      <c r="N125" s="513"/>
      <c r="O125" s="505">
        <f t="shared" si="14"/>
        <v>0</v>
      </c>
      <c r="P125" s="505">
        <f t="shared" si="15"/>
        <v>0</v>
      </c>
      <c r="Q125" s="244"/>
      <c r="R125" s="244"/>
      <c r="S125" s="244"/>
      <c r="T125" s="244"/>
      <c r="U125" s="244"/>
    </row>
    <row r="126" spans="2:21" ht="12.5">
      <c r="B126" s="145" t="str">
        <f t="shared" si="16"/>
        <v/>
      </c>
      <c r="C126" s="496">
        <f>IF(D94="","-",+C125+1)</f>
        <v>2039</v>
      </c>
      <c r="D126" s="350"/>
      <c r="E126" s="629"/>
      <c r="F126" s="511"/>
      <c r="G126" s="511"/>
      <c r="H126" s="646"/>
      <c r="I126" s="630"/>
      <c r="J126" s="505">
        <f t="shared" si="17"/>
        <v>0</v>
      </c>
      <c r="K126" s="505"/>
      <c r="L126" s="513"/>
      <c r="M126" s="505">
        <f t="shared" si="13"/>
        <v>0</v>
      </c>
      <c r="N126" s="513"/>
      <c r="O126" s="505">
        <f t="shared" si="14"/>
        <v>0</v>
      </c>
      <c r="P126" s="505">
        <f t="shared" si="15"/>
        <v>0</v>
      </c>
      <c r="Q126" s="244"/>
      <c r="R126" s="244"/>
      <c r="S126" s="244"/>
      <c r="T126" s="244"/>
      <c r="U126" s="244"/>
    </row>
    <row r="127" spans="2:21" ht="12.5">
      <c r="B127" s="145" t="str">
        <f t="shared" si="16"/>
        <v/>
      </c>
      <c r="C127" s="496">
        <f>IF(D94="","-",+C126+1)</f>
        <v>2040</v>
      </c>
      <c r="D127" s="350"/>
      <c r="E127" s="629"/>
      <c r="F127" s="511"/>
      <c r="G127" s="511"/>
      <c r="H127" s="646"/>
      <c r="I127" s="630"/>
      <c r="J127" s="505">
        <f t="shared" si="17"/>
        <v>0</v>
      </c>
      <c r="K127" s="505"/>
      <c r="L127" s="513"/>
      <c r="M127" s="505">
        <f t="shared" si="13"/>
        <v>0</v>
      </c>
      <c r="N127" s="513"/>
      <c r="O127" s="505">
        <f t="shared" si="14"/>
        <v>0</v>
      </c>
      <c r="P127" s="505">
        <f t="shared" si="15"/>
        <v>0</v>
      </c>
      <c r="Q127" s="244"/>
      <c r="R127" s="244"/>
      <c r="S127" s="244"/>
      <c r="T127" s="244"/>
      <c r="U127" s="244"/>
    </row>
    <row r="128" spans="2:21" ht="12.5">
      <c r="B128" s="145" t="str">
        <f t="shared" si="16"/>
        <v/>
      </c>
      <c r="C128" s="496">
        <f>IF(D94="","-",+C127+1)</f>
        <v>2041</v>
      </c>
      <c r="D128" s="350"/>
      <c r="E128" s="629"/>
      <c r="F128" s="511"/>
      <c r="G128" s="511"/>
      <c r="H128" s="646"/>
      <c r="I128" s="630"/>
      <c r="J128" s="505">
        <f t="shared" si="17"/>
        <v>0</v>
      </c>
      <c r="K128" s="505"/>
      <c r="L128" s="513"/>
      <c r="M128" s="505">
        <f t="shared" si="13"/>
        <v>0</v>
      </c>
      <c r="N128" s="513"/>
      <c r="O128" s="505">
        <f t="shared" si="14"/>
        <v>0</v>
      </c>
      <c r="P128" s="505">
        <f t="shared" si="15"/>
        <v>0</v>
      </c>
      <c r="Q128" s="244"/>
      <c r="R128" s="244"/>
      <c r="S128" s="244"/>
      <c r="T128" s="244"/>
      <c r="U128" s="244"/>
    </row>
    <row r="129" spans="2:21" ht="12.5">
      <c r="B129" s="145" t="str">
        <f t="shared" si="16"/>
        <v/>
      </c>
      <c r="C129" s="496">
        <f>IF(D94="","-",+C128+1)</f>
        <v>2042</v>
      </c>
      <c r="D129" s="350"/>
      <c r="E129" s="629"/>
      <c r="F129" s="511"/>
      <c r="G129" s="511"/>
      <c r="H129" s="646"/>
      <c r="I129" s="630"/>
      <c r="J129" s="505">
        <f t="shared" si="17"/>
        <v>0</v>
      </c>
      <c r="K129" s="505"/>
      <c r="L129" s="513"/>
      <c r="M129" s="505">
        <f t="shared" si="13"/>
        <v>0</v>
      </c>
      <c r="N129" s="513"/>
      <c r="O129" s="505">
        <f t="shared" si="14"/>
        <v>0</v>
      </c>
      <c r="P129" s="505">
        <f t="shared" si="15"/>
        <v>0</v>
      </c>
      <c r="Q129" s="244"/>
      <c r="R129" s="244"/>
      <c r="S129" s="244"/>
      <c r="T129" s="244"/>
      <c r="U129" s="244"/>
    </row>
    <row r="130" spans="2:21" ht="12.5">
      <c r="B130" s="145" t="str">
        <f t="shared" si="16"/>
        <v/>
      </c>
      <c r="C130" s="496">
        <f>IF(D94="","-",+C129+1)</f>
        <v>2043</v>
      </c>
      <c r="D130" s="350"/>
      <c r="E130" s="629"/>
      <c r="F130" s="511"/>
      <c r="G130" s="511"/>
      <c r="H130" s="646"/>
      <c r="I130" s="630"/>
      <c r="J130" s="505">
        <f t="shared" si="17"/>
        <v>0</v>
      </c>
      <c r="K130" s="505"/>
      <c r="L130" s="513"/>
      <c r="M130" s="505">
        <f t="shared" si="13"/>
        <v>0</v>
      </c>
      <c r="N130" s="513"/>
      <c r="O130" s="505">
        <f t="shared" si="14"/>
        <v>0</v>
      </c>
      <c r="P130" s="505">
        <f t="shared" si="15"/>
        <v>0</v>
      </c>
      <c r="Q130" s="244"/>
      <c r="R130" s="244"/>
      <c r="S130" s="244"/>
      <c r="T130" s="244"/>
      <c r="U130" s="244"/>
    </row>
    <row r="131" spans="2:21" ht="12.5">
      <c r="B131" s="145" t="str">
        <f t="shared" si="16"/>
        <v/>
      </c>
      <c r="C131" s="496">
        <f>IF(D94="","-",+C130+1)</f>
        <v>2044</v>
      </c>
      <c r="D131" s="350"/>
      <c r="E131" s="629"/>
      <c r="F131" s="511"/>
      <c r="G131" s="511"/>
      <c r="H131" s="646"/>
      <c r="I131" s="630"/>
      <c r="J131" s="505">
        <f t="shared" si="17"/>
        <v>0</v>
      </c>
      <c r="K131" s="505"/>
      <c r="L131" s="513"/>
      <c r="M131" s="505">
        <f t="shared" si="13"/>
        <v>0</v>
      </c>
      <c r="N131" s="513"/>
      <c r="O131" s="505">
        <f t="shared" si="14"/>
        <v>0</v>
      </c>
      <c r="P131" s="505">
        <f t="shared" si="15"/>
        <v>0</v>
      </c>
      <c r="Q131" s="244"/>
      <c r="R131" s="244"/>
      <c r="S131" s="244"/>
      <c r="T131" s="244"/>
      <c r="U131" s="244"/>
    </row>
    <row r="132" spans="2:21" ht="12.5">
      <c r="B132" s="145" t="str">
        <f t="shared" si="16"/>
        <v/>
      </c>
      <c r="C132" s="496">
        <f>IF(D94="","-",+C131+1)</f>
        <v>2045</v>
      </c>
      <c r="D132" s="350"/>
      <c r="E132" s="629"/>
      <c r="F132" s="511"/>
      <c r="G132" s="511"/>
      <c r="H132" s="646"/>
      <c r="I132" s="630"/>
      <c r="J132" s="505">
        <f t="shared" si="17"/>
        <v>0</v>
      </c>
      <c r="K132" s="505"/>
      <c r="L132" s="513"/>
      <c r="M132" s="505">
        <f t="shared" ref="M132:M155" si="18">IF(L542&lt;&gt;0,+H542-L542,0)</f>
        <v>0</v>
      </c>
      <c r="N132" s="513"/>
      <c r="O132" s="505">
        <f t="shared" ref="O132:O155" si="19">IF(N542&lt;&gt;0,+I542-N542,0)</f>
        <v>0</v>
      </c>
      <c r="P132" s="505">
        <f t="shared" ref="P132:P155" si="20">+O542-M542</f>
        <v>0</v>
      </c>
      <c r="Q132" s="244"/>
      <c r="R132" s="244"/>
      <c r="S132" s="244"/>
      <c r="T132" s="244"/>
      <c r="U132" s="244"/>
    </row>
    <row r="133" spans="2:21" ht="12.5">
      <c r="B133" s="145" t="str">
        <f t="shared" si="16"/>
        <v/>
      </c>
      <c r="C133" s="496">
        <f>IF(D94="","-",+C132+1)</f>
        <v>2046</v>
      </c>
      <c r="D133" s="350"/>
      <c r="E133" s="629"/>
      <c r="F133" s="511"/>
      <c r="G133" s="511"/>
      <c r="H133" s="646"/>
      <c r="I133" s="630"/>
      <c r="J133" s="505">
        <f t="shared" si="17"/>
        <v>0</v>
      </c>
      <c r="K133" s="505"/>
      <c r="L133" s="513"/>
      <c r="M133" s="505">
        <f t="shared" si="18"/>
        <v>0</v>
      </c>
      <c r="N133" s="513"/>
      <c r="O133" s="505">
        <f t="shared" si="19"/>
        <v>0</v>
      </c>
      <c r="P133" s="505">
        <f t="shared" si="20"/>
        <v>0</v>
      </c>
      <c r="Q133" s="244"/>
      <c r="R133" s="244"/>
      <c r="S133" s="244"/>
      <c r="T133" s="244"/>
      <c r="U133" s="244"/>
    </row>
    <row r="134" spans="2:21" ht="12.5">
      <c r="B134" s="145" t="str">
        <f t="shared" si="16"/>
        <v/>
      </c>
      <c r="C134" s="496">
        <f>IF(D94="","-",+C133+1)</f>
        <v>2047</v>
      </c>
      <c r="D134" s="350"/>
      <c r="E134" s="629"/>
      <c r="F134" s="511"/>
      <c r="G134" s="511"/>
      <c r="H134" s="646"/>
      <c r="I134" s="630"/>
      <c r="J134" s="505">
        <f t="shared" si="17"/>
        <v>0</v>
      </c>
      <c r="K134" s="505"/>
      <c r="L134" s="513"/>
      <c r="M134" s="505">
        <f t="shared" si="18"/>
        <v>0</v>
      </c>
      <c r="N134" s="513"/>
      <c r="O134" s="505">
        <f t="shared" si="19"/>
        <v>0</v>
      </c>
      <c r="P134" s="505">
        <f t="shared" si="20"/>
        <v>0</v>
      </c>
      <c r="Q134" s="244"/>
      <c r="R134" s="244"/>
      <c r="S134" s="244"/>
      <c r="T134" s="244"/>
      <c r="U134" s="244"/>
    </row>
    <row r="135" spans="2:21" ht="12.5">
      <c r="B135" s="145" t="str">
        <f t="shared" si="16"/>
        <v/>
      </c>
      <c r="C135" s="496">
        <f>IF(D94="","-",+C134+1)</f>
        <v>2048</v>
      </c>
      <c r="D135" s="350"/>
      <c r="E135" s="629"/>
      <c r="F135" s="511"/>
      <c r="G135" s="511"/>
      <c r="H135" s="646"/>
      <c r="I135" s="630"/>
      <c r="J135" s="505">
        <f t="shared" si="17"/>
        <v>0</v>
      </c>
      <c r="K135" s="505"/>
      <c r="L135" s="513"/>
      <c r="M135" s="505">
        <f t="shared" si="18"/>
        <v>0</v>
      </c>
      <c r="N135" s="513"/>
      <c r="O135" s="505">
        <f t="shared" si="19"/>
        <v>0</v>
      </c>
      <c r="P135" s="505">
        <f t="shared" si="20"/>
        <v>0</v>
      </c>
      <c r="Q135" s="244"/>
      <c r="R135" s="244"/>
      <c r="S135" s="244"/>
      <c r="T135" s="244"/>
      <c r="U135" s="244"/>
    </row>
    <row r="136" spans="2:21" ht="12.5">
      <c r="B136" s="145" t="str">
        <f t="shared" si="16"/>
        <v/>
      </c>
      <c r="C136" s="496">
        <f>IF(D94="","-",+C135+1)</f>
        <v>2049</v>
      </c>
      <c r="D136" s="350"/>
      <c r="E136" s="629"/>
      <c r="F136" s="511"/>
      <c r="G136" s="511"/>
      <c r="H136" s="646"/>
      <c r="I136" s="630"/>
      <c r="J136" s="505">
        <f t="shared" si="17"/>
        <v>0</v>
      </c>
      <c r="K136" s="505"/>
      <c r="L136" s="513"/>
      <c r="M136" s="505">
        <f t="shared" si="18"/>
        <v>0</v>
      </c>
      <c r="N136" s="513"/>
      <c r="O136" s="505">
        <f t="shared" si="19"/>
        <v>0</v>
      </c>
      <c r="P136" s="505">
        <f t="shared" si="20"/>
        <v>0</v>
      </c>
      <c r="Q136" s="244"/>
      <c r="R136" s="244"/>
      <c r="S136" s="244"/>
      <c r="T136" s="244"/>
      <c r="U136" s="244"/>
    </row>
    <row r="137" spans="2:21" ht="12.5">
      <c r="B137" s="145" t="str">
        <f t="shared" si="16"/>
        <v/>
      </c>
      <c r="C137" s="496">
        <f>IF(D94="","-",+C136+1)</f>
        <v>2050</v>
      </c>
      <c r="D137" s="350"/>
      <c r="E137" s="629"/>
      <c r="F137" s="511"/>
      <c r="G137" s="511"/>
      <c r="H137" s="646"/>
      <c r="I137" s="630"/>
      <c r="J137" s="505">
        <f t="shared" si="17"/>
        <v>0</v>
      </c>
      <c r="K137" s="505"/>
      <c r="L137" s="513"/>
      <c r="M137" s="505">
        <f t="shared" si="18"/>
        <v>0</v>
      </c>
      <c r="N137" s="513"/>
      <c r="O137" s="505">
        <f t="shared" si="19"/>
        <v>0</v>
      </c>
      <c r="P137" s="505">
        <f t="shared" si="20"/>
        <v>0</v>
      </c>
      <c r="Q137" s="244"/>
      <c r="R137" s="244"/>
      <c r="S137" s="244"/>
      <c r="T137" s="244"/>
      <c r="U137" s="244"/>
    </row>
    <row r="138" spans="2:21" ht="12.5">
      <c r="B138" s="145" t="str">
        <f t="shared" si="16"/>
        <v/>
      </c>
      <c r="C138" s="496">
        <f>IF(D94="","-",+C137+1)</f>
        <v>2051</v>
      </c>
      <c r="D138" s="350"/>
      <c r="E138" s="629"/>
      <c r="F138" s="511"/>
      <c r="G138" s="511"/>
      <c r="H138" s="646"/>
      <c r="I138" s="630"/>
      <c r="J138" s="505">
        <f t="shared" si="17"/>
        <v>0</v>
      </c>
      <c r="K138" s="505"/>
      <c r="L138" s="513"/>
      <c r="M138" s="505">
        <f t="shared" si="18"/>
        <v>0</v>
      </c>
      <c r="N138" s="513"/>
      <c r="O138" s="505">
        <f t="shared" si="19"/>
        <v>0</v>
      </c>
      <c r="P138" s="505">
        <f t="shared" si="20"/>
        <v>0</v>
      </c>
      <c r="Q138" s="244"/>
      <c r="R138" s="244"/>
      <c r="S138" s="244"/>
      <c r="T138" s="244"/>
      <c r="U138" s="244"/>
    </row>
    <row r="139" spans="2:21" ht="12.5">
      <c r="B139" s="145" t="str">
        <f t="shared" si="16"/>
        <v/>
      </c>
      <c r="C139" s="496">
        <f>IF(D94="","-",+C138+1)</f>
        <v>2052</v>
      </c>
      <c r="D139" s="350"/>
      <c r="E139" s="629"/>
      <c r="F139" s="511"/>
      <c r="G139" s="511"/>
      <c r="H139" s="646"/>
      <c r="I139" s="630"/>
      <c r="J139" s="505">
        <f t="shared" si="17"/>
        <v>0</v>
      </c>
      <c r="K139" s="505"/>
      <c r="L139" s="513"/>
      <c r="M139" s="505">
        <f t="shared" si="18"/>
        <v>0</v>
      </c>
      <c r="N139" s="513"/>
      <c r="O139" s="505">
        <f t="shared" si="19"/>
        <v>0</v>
      </c>
      <c r="P139" s="505">
        <f t="shared" si="20"/>
        <v>0</v>
      </c>
      <c r="Q139" s="244"/>
      <c r="R139" s="244"/>
      <c r="S139" s="244"/>
      <c r="T139" s="244"/>
      <c r="U139" s="244"/>
    </row>
    <row r="140" spans="2:21" ht="12.5">
      <c r="B140" s="145" t="str">
        <f t="shared" si="16"/>
        <v/>
      </c>
      <c r="C140" s="496">
        <f>IF(D94="","-",+C139+1)</f>
        <v>2053</v>
      </c>
      <c r="D140" s="350"/>
      <c r="E140" s="629"/>
      <c r="F140" s="511"/>
      <c r="G140" s="511"/>
      <c r="H140" s="646"/>
      <c r="I140" s="630"/>
      <c r="J140" s="505">
        <f t="shared" si="17"/>
        <v>0</v>
      </c>
      <c r="K140" s="505"/>
      <c r="L140" s="513"/>
      <c r="M140" s="505">
        <f t="shared" si="18"/>
        <v>0</v>
      </c>
      <c r="N140" s="513"/>
      <c r="O140" s="505">
        <f t="shared" si="19"/>
        <v>0</v>
      </c>
      <c r="P140" s="505">
        <f t="shared" si="20"/>
        <v>0</v>
      </c>
      <c r="Q140" s="244"/>
      <c r="R140" s="244"/>
      <c r="S140" s="244"/>
      <c r="T140" s="244"/>
      <c r="U140" s="244"/>
    </row>
    <row r="141" spans="2:21" ht="12.5">
      <c r="B141" s="145" t="str">
        <f t="shared" si="16"/>
        <v/>
      </c>
      <c r="C141" s="496">
        <f>IF(D94="","-",+C140+1)</f>
        <v>2054</v>
      </c>
      <c r="D141" s="350"/>
      <c r="E141" s="629"/>
      <c r="F141" s="511"/>
      <c r="G141" s="511"/>
      <c r="H141" s="646"/>
      <c r="I141" s="630"/>
      <c r="J141" s="505">
        <f t="shared" si="17"/>
        <v>0</v>
      </c>
      <c r="K141" s="505"/>
      <c r="L141" s="513"/>
      <c r="M141" s="505">
        <f t="shared" si="18"/>
        <v>0</v>
      </c>
      <c r="N141" s="513"/>
      <c r="O141" s="505">
        <f t="shared" si="19"/>
        <v>0</v>
      </c>
      <c r="P141" s="505">
        <f t="shared" si="20"/>
        <v>0</v>
      </c>
      <c r="Q141" s="244"/>
      <c r="R141" s="244"/>
      <c r="S141" s="244"/>
      <c r="T141" s="244"/>
      <c r="U141" s="244"/>
    </row>
    <row r="142" spans="2:21" ht="12.5">
      <c r="B142" s="145" t="str">
        <f t="shared" si="16"/>
        <v/>
      </c>
      <c r="C142" s="496">
        <f>IF(D94="","-",+C141+1)</f>
        <v>2055</v>
      </c>
      <c r="D142" s="350"/>
      <c r="E142" s="629"/>
      <c r="F142" s="511"/>
      <c r="G142" s="511"/>
      <c r="H142" s="646"/>
      <c r="I142" s="630"/>
      <c r="J142" s="505">
        <f t="shared" si="17"/>
        <v>0</v>
      </c>
      <c r="K142" s="505"/>
      <c r="L142" s="513"/>
      <c r="M142" s="505">
        <f t="shared" si="18"/>
        <v>0</v>
      </c>
      <c r="N142" s="513"/>
      <c r="O142" s="505">
        <f t="shared" si="19"/>
        <v>0</v>
      </c>
      <c r="P142" s="505">
        <f t="shared" si="20"/>
        <v>0</v>
      </c>
      <c r="Q142" s="244"/>
      <c r="R142" s="244"/>
      <c r="S142" s="244"/>
      <c r="T142" s="244"/>
      <c r="U142" s="244"/>
    </row>
    <row r="143" spans="2:21" ht="12.5">
      <c r="B143" s="145" t="str">
        <f t="shared" si="16"/>
        <v/>
      </c>
      <c r="C143" s="496">
        <f>IF(D94="","-",+C142+1)</f>
        <v>2056</v>
      </c>
      <c r="D143" s="350"/>
      <c r="E143" s="629"/>
      <c r="F143" s="511"/>
      <c r="G143" s="511"/>
      <c r="H143" s="646"/>
      <c r="I143" s="630"/>
      <c r="J143" s="505">
        <f t="shared" si="17"/>
        <v>0</v>
      </c>
      <c r="K143" s="505"/>
      <c r="L143" s="513"/>
      <c r="M143" s="505">
        <f t="shared" si="18"/>
        <v>0</v>
      </c>
      <c r="N143" s="513"/>
      <c r="O143" s="505">
        <f t="shared" si="19"/>
        <v>0</v>
      </c>
      <c r="P143" s="505">
        <f t="shared" si="20"/>
        <v>0</v>
      </c>
      <c r="Q143" s="244"/>
      <c r="R143" s="244"/>
      <c r="S143" s="244"/>
      <c r="T143" s="244"/>
      <c r="U143" s="244"/>
    </row>
    <row r="144" spans="2:21" ht="12.5">
      <c r="B144" s="145" t="str">
        <f t="shared" si="16"/>
        <v/>
      </c>
      <c r="C144" s="496">
        <f>IF(D94="","-",+C143+1)</f>
        <v>2057</v>
      </c>
      <c r="D144" s="350"/>
      <c r="E144" s="629"/>
      <c r="F144" s="511"/>
      <c r="G144" s="511"/>
      <c r="H144" s="646"/>
      <c r="I144" s="630"/>
      <c r="J144" s="505">
        <f t="shared" si="17"/>
        <v>0</v>
      </c>
      <c r="K144" s="505"/>
      <c r="L144" s="513"/>
      <c r="M144" s="505">
        <f t="shared" si="18"/>
        <v>0</v>
      </c>
      <c r="N144" s="513"/>
      <c r="O144" s="505">
        <f t="shared" si="19"/>
        <v>0</v>
      </c>
      <c r="P144" s="505">
        <f t="shared" si="20"/>
        <v>0</v>
      </c>
      <c r="Q144" s="244"/>
      <c r="R144" s="244"/>
      <c r="S144" s="244"/>
      <c r="T144" s="244"/>
      <c r="U144" s="244"/>
    </row>
    <row r="145" spans="2:21" ht="12.5">
      <c r="B145" s="145" t="str">
        <f t="shared" si="16"/>
        <v/>
      </c>
      <c r="C145" s="496">
        <f>IF(D94="","-",+C144+1)</f>
        <v>2058</v>
      </c>
      <c r="D145" s="350"/>
      <c r="E145" s="629"/>
      <c r="F145" s="511"/>
      <c r="G145" s="511"/>
      <c r="H145" s="646"/>
      <c r="I145" s="630"/>
      <c r="J145" s="505">
        <f t="shared" si="17"/>
        <v>0</v>
      </c>
      <c r="K145" s="505"/>
      <c r="L145" s="513"/>
      <c r="M145" s="505">
        <f t="shared" si="18"/>
        <v>0</v>
      </c>
      <c r="N145" s="513"/>
      <c r="O145" s="505">
        <f t="shared" si="19"/>
        <v>0</v>
      </c>
      <c r="P145" s="505">
        <f t="shared" si="20"/>
        <v>0</v>
      </c>
      <c r="Q145" s="244"/>
      <c r="R145" s="244"/>
      <c r="S145" s="244"/>
      <c r="T145" s="244"/>
      <c r="U145" s="244"/>
    </row>
    <row r="146" spans="2:21" ht="12.5">
      <c r="B146" s="145" t="str">
        <f t="shared" si="16"/>
        <v/>
      </c>
      <c r="C146" s="496">
        <f>IF(D94="","-",+C145+1)</f>
        <v>2059</v>
      </c>
      <c r="D146" s="350"/>
      <c r="E146" s="629"/>
      <c r="F146" s="511"/>
      <c r="G146" s="511"/>
      <c r="H146" s="646"/>
      <c r="I146" s="630"/>
      <c r="J146" s="505">
        <f t="shared" si="17"/>
        <v>0</v>
      </c>
      <c r="K146" s="505"/>
      <c r="L146" s="513"/>
      <c r="M146" s="505">
        <f t="shared" si="18"/>
        <v>0</v>
      </c>
      <c r="N146" s="513"/>
      <c r="O146" s="505">
        <f t="shared" si="19"/>
        <v>0</v>
      </c>
      <c r="P146" s="505">
        <f t="shared" si="20"/>
        <v>0</v>
      </c>
      <c r="Q146" s="244"/>
      <c r="R146" s="244"/>
      <c r="S146" s="244"/>
      <c r="T146" s="244"/>
      <c r="U146" s="244"/>
    </row>
    <row r="147" spans="2:21" ht="12.5">
      <c r="B147" s="145" t="str">
        <f t="shared" si="16"/>
        <v/>
      </c>
      <c r="C147" s="496">
        <f>IF(D94="","-",+C146+1)</f>
        <v>2060</v>
      </c>
      <c r="D147" s="350"/>
      <c r="E147" s="629"/>
      <c r="F147" s="511"/>
      <c r="G147" s="511"/>
      <c r="H147" s="646"/>
      <c r="I147" s="630"/>
      <c r="J147" s="505">
        <f t="shared" si="17"/>
        <v>0</v>
      </c>
      <c r="K147" s="505"/>
      <c r="L147" s="513"/>
      <c r="M147" s="505">
        <f t="shared" si="18"/>
        <v>0</v>
      </c>
      <c r="N147" s="513"/>
      <c r="O147" s="505">
        <f t="shared" si="19"/>
        <v>0</v>
      </c>
      <c r="P147" s="505">
        <f t="shared" si="20"/>
        <v>0</v>
      </c>
      <c r="Q147" s="244"/>
      <c r="R147" s="244"/>
      <c r="S147" s="244"/>
      <c r="T147" s="244"/>
      <c r="U147" s="244"/>
    </row>
    <row r="148" spans="2:21" ht="12.5">
      <c r="B148" s="145" t="str">
        <f t="shared" si="16"/>
        <v/>
      </c>
      <c r="C148" s="496">
        <f>IF(D94="","-",+C147+1)</f>
        <v>2061</v>
      </c>
      <c r="D148" s="350"/>
      <c r="E148" s="629"/>
      <c r="F148" s="511"/>
      <c r="G148" s="511"/>
      <c r="H148" s="646"/>
      <c r="I148" s="630"/>
      <c r="J148" s="505">
        <f t="shared" si="17"/>
        <v>0</v>
      </c>
      <c r="K148" s="505"/>
      <c r="L148" s="513"/>
      <c r="M148" s="505">
        <f t="shared" si="18"/>
        <v>0</v>
      </c>
      <c r="N148" s="513"/>
      <c r="O148" s="505">
        <f t="shared" si="19"/>
        <v>0</v>
      </c>
      <c r="P148" s="505">
        <f t="shared" si="20"/>
        <v>0</v>
      </c>
      <c r="Q148" s="244"/>
      <c r="R148" s="244"/>
      <c r="S148" s="244"/>
      <c r="T148" s="244"/>
      <c r="U148" s="244"/>
    </row>
    <row r="149" spans="2:21" ht="12.5">
      <c r="B149" s="145" t="str">
        <f t="shared" si="16"/>
        <v/>
      </c>
      <c r="C149" s="496">
        <f>IF(D94="","-",+C148+1)</f>
        <v>2062</v>
      </c>
      <c r="D149" s="350"/>
      <c r="E149" s="629"/>
      <c r="F149" s="511"/>
      <c r="G149" s="511"/>
      <c r="H149" s="646"/>
      <c r="I149" s="630"/>
      <c r="J149" s="505">
        <f t="shared" si="17"/>
        <v>0</v>
      </c>
      <c r="K149" s="505"/>
      <c r="L149" s="513"/>
      <c r="M149" s="505">
        <f t="shared" si="18"/>
        <v>0</v>
      </c>
      <c r="N149" s="513"/>
      <c r="O149" s="505">
        <f t="shared" si="19"/>
        <v>0</v>
      </c>
      <c r="P149" s="505">
        <f t="shared" si="20"/>
        <v>0</v>
      </c>
      <c r="Q149" s="244"/>
      <c r="R149" s="244"/>
      <c r="S149" s="244"/>
      <c r="T149" s="244"/>
      <c r="U149" s="244"/>
    </row>
    <row r="150" spans="2:21" ht="12.5">
      <c r="B150" s="145" t="str">
        <f t="shared" si="16"/>
        <v/>
      </c>
      <c r="C150" s="496">
        <f>IF(D94="","-",+C149+1)</f>
        <v>2063</v>
      </c>
      <c r="D150" s="350"/>
      <c r="E150" s="629"/>
      <c r="F150" s="511"/>
      <c r="G150" s="511"/>
      <c r="H150" s="646"/>
      <c r="I150" s="630"/>
      <c r="J150" s="505">
        <f t="shared" si="17"/>
        <v>0</v>
      </c>
      <c r="K150" s="505"/>
      <c r="L150" s="513"/>
      <c r="M150" s="505">
        <f t="shared" si="18"/>
        <v>0</v>
      </c>
      <c r="N150" s="513"/>
      <c r="O150" s="505">
        <f t="shared" si="19"/>
        <v>0</v>
      </c>
      <c r="P150" s="505">
        <f t="shared" si="20"/>
        <v>0</v>
      </c>
      <c r="Q150" s="244"/>
      <c r="R150" s="244"/>
      <c r="S150" s="244"/>
      <c r="T150" s="244"/>
      <c r="U150" s="244"/>
    </row>
    <row r="151" spans="2:21" ht="12.5">
      <c r="B151" s="145" t="str">
        <f t="shared" si="16"/>
        <v/>
      </c>
      <c r="C151" s="496">
        <f>IF(D94="","-",+C150+1)</f>
        <v>2064</v>
      </c>
      <c r="D151" s="350"/>
      <c r="E151" s="629"/>
      <c r="F151" s="511"/>
      <c r="G151" s="511"/>
      <c r="H151" s="646"/>
      <c r="I151" s="630"/>
      <c r="J151" s="505">
        <f t="shared" si="17"/>
        <v>0</v>
      </c>
      <c r="K151" s="505"/>
      <c r="L151" s="513"/>
      <c r="M151" s="505">
        <f t="shared" si="18"/>
        <v>0</v>
      </c>
      <c r="N151" s="513"/>
      <c r="O151" s="505">
        <f t="shared" si="19"/>
        <v>0</v>
      </c>
      <c r="P151" s="505">
        <f t="shared" si="20"/>
        <v>0</v>
      </c>
      <c r="Q151" s="244"/>
      <c r="R151" s="244"/>
      <c r="S151" s="244"/>
      <c r="T151" s="244"/>
      <c r="U151" s="244"/>
    </row>
    <row r="152" spans="2:21" ht="12.5">
      <c r="B152" s="145" t="str">
        <f t="shared" si="16"/>
        <v/>
      </c>
      <c r="C152" s="496">
        <f>IF(D94="","-",+C151+1)</f>
        <v>2065</v>
      </c>
      <c r="D152" s="350"/>
      <c r="E152" s="629"/>
      <c r="F152" s="511"/>
      <c r="G152" s="511"/>
      <c r="H152" s="646"/>
      <c r="I152" s="630"/>
      <c r="J152" s="505">
        <f t="shared" si="17"/>
        <v>0</v>
      </c>
      <c r="K152" s="505"/>
      <c r="L152" s="513"/>
      <c r="M152" s="505">
        <f t="shared" si="18"/>
        <v>0</v>
      </c>
      <c r="N152" s="513"/>
      <c r="O152" s="505">
        <f t="shared" si="19"/>
        <v>0</v>
      </c>
      <c r="P152" s="505">
        <f t="shared" si="20"/>
        <v>0</v>
      </c>
      <c r="Q152" s="244"/>
      <c r="R152" s="244"/>
      <c r="S152" s="244"/>
      <c r="T152" s="244"/>
      <c r="U152" s="244"/>
    </row>
    <row r="153" spans="2:21" ht="12.5">
      <c r="B153" s="145" t="str">
        <f t="shared" si="16"/>
        <v/>
      </c>
      <c r="C153" s="496">
        <f>IF(D94="","-",+C152+1)</f>
        <v>2066</v>
      </c>
      <c r="D153" s="350"/>
      <c r="E153" s="629"/>
      <c r="F153" s="511"/>
      <c r="G153" s="511"/>
      <c r="H153" s="646"/>
      <c r="I153" s="630"/>
      <c r="J153" s="505">
        <f t="shared" si="17"/>
        <v>0</v>
      </c>
      <c r="K153" s="505"/>
      <c r="L153" s="513"/>
      <c r="M153" s="505">
        <f t="shared" si="18"/>
        <v>0</v>
      </c>
      <c r="N153" s="513"/>
      <c r="O153" s="505">
        <f t="shared" si="19"/>
        <v>0</v>
      </c>
      <c r="P153" s="505">
        <f t="shared" si="20"/>
        <v>0</v>
      </c>
      <c r="Q153" s="244"/>
      <c r="R153" s="244"/>
      <c r="S153" s="244"/>
      <c r="T153" s="244"/>
      <c r="U153" s="244"/>
    </row>
    <row r="154" spans="2:21" ht="12.5">
      <c r="B154" s="145" t="str">
        <f t="shared" si="16"/>
        <v/>
      </c>
      <c r="C154" s="496">
        <f>IF(D94="","-",+C153+1)</f>
        <v>2067</v>
      </c>
      <c r="D154" s="350"/>
      <c r="E154" s="629"/>
      <c r="F154" s="511"/>
      <c r="G154" s="511"/>
      <c r="H154" s="646"/>
      <c r="I154" s="630"/>
      <c r="J154" s="505">
        <f t="shared" si="17"/>
        <v>0</v>
      </c>
      <c r="K154" s="505"/>
      <c r="L154" s="513"/>
      <c r="M154" s="505">
        <f t="shared" si="18"/>
        <v>0</v>
      </c>
      <c r="N154" s="513"/>
      <c r="O154" s="505">
        <f t="shared" si="19"/>
        <v>0</v>
      </c>
      <c r="P154" s="505">
        <f t="shared" si="20"/>
        <v>0</v>
      </c>
      <c r="Q154" s="244"/>
      <c r="R154" s="244"/>
      <c r="S154" s="244"/>
      <c r="T154" s="244"/>
      <c r="U154" s="244"/>
    </row>
    <row r="155" spans="2:21" ht="13" thickBot="1">
      <c r="B155" s="145" t="str">
        <f t="shared" si="16"/>
        <v/>
      </c>
      <c r="C155" s="525">
        <f>IF(D94="","-",+C154+1)</f>
        <v>2068</v>
      </c>
      <c r="D155" s="619"/>
      <c r="E155" s="631"/>
      <c r="F155" s="528"/>
      <c r="G155" s="528"/>
      <c r="H155" s="646"/>
      <c r="I155" s="632"/>
      <c r="J155" s="532">
        <f t="shared" si="17"/>
        <v>0</v>
      </c>
      <c r="K155" s="505"/>
      <c r="L155" s="531"/>
      <c r="M155" s="532">
        <f t="shared" si="18"/>
        <v>0</v>
      </c>
      <c r="N155" s="531"/>
      <c r="O155" s="532">
        <f t="shared" si="19"/>
        <v>0</v>
      </c>
      <c r="P155" s="532">
        <f t="shared" si="20"/>
        <v>0</v>
      </c>
      <c r="Q155" s="244"/>
      <c r="R155" s="244"/>
      <c r="S155" s="244"/>
      <c r="T155" s="244"/>
      <c r="U155" s="244"/>
    </row>
    <row r="156" spans="2:21" ht="12.5">
      <c r="C156" s="350" t="s">
        <v>75</v>
      </c>
      <c r="D156" s="295"/>
      <c r="E156" s="295">
        <f>SUM(E100:E155)</f>
        <v>433494.464379085</v>
      </c>
      <c r="F156" s="295"/>
      <c r="G156" s="295"/>
      <c r="H156" s="295">
        <f>SUM(H100:H155)</f>
        <v>2387323.3800558434</v>
      </c>
      <c r="I156" s="295">
        <f>SUM(I100:I155)</f>
        <v>2387323.3800558434</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6" priority="1" stopIfTrue="1" operator="equal">
      <formula>$I$10</formula>
    </cfRule>
  </conditionalFormatting>
  <conditionalFormatting sqref="C100:C155">
    <cfRule type="cellIs" dxfId="25"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U163"/>
  <sheetViews>
    <sheetView tabSelected="1" view="pageBreakPreview" zoomScale="78" zoomScaleNormal="100" zoomScaleSheetLayoutView="78"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14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8552229.9584809169</v>
      </c>
      <c r="P5" s="244"/>
      <c r="R5" s="244"/>
      <c r="S5" s="244"/>
      <c r="T5" s="244"/>
      <c r="U5" s="244"/>
    </row>
    <row r="6" spans="1:21" ht="15.5">
      <c r="C6" s="236"/>
      <c r="D6" s="293"/>
      <c r="E6" s="244"/>
      <c r="F6" s="244"/>
      <c r="G6" s="244"/>
      <c r="H6" s="450"/>
      <c r="I6" s="450"/>
      <c r="J6" s="451"/>
      <c r="K6" s="452" t="s">
        <v>243</v>
      </c>
      <c r="L6" s="453"/>
      <c r="M6" s="279"/>
      <c r="N6" s="454">
        <f>VLOOKUP(I10,C17:I73,6)</f>
        <v>8552229.9584809169</v>
      </c>
      <c r="O6" s="244"/>
      <c r="P6" s="244"/>
      <c r="R6" s="244"/>
      <c r="S6" s="244"/>
      <c r="T6" s="244"/>
      <c r="U6" s="244"/>
    </row>
    <row r="7" spans="1:21" ht="13.5" thickBot="1">
      <c r="C7" s="455" t="s">
        <v>46</v>
      </c>
      <c r="D7" s="635" t="s">
        <v>234</v>
      </c>
      <c r="E7" s="635"/>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235</v>
      </c>
      <c r="E9" s="466"/>
      <c r="F9" s="466"/>
      <c r="G9" s="466"/>
      <c r="H9" s="466"/>
      <c r="I9" s="467"/>
      <c r="J9" s="468"/>
      <c r="O9" s="469"/>
      <c r="P9" s="279"/>
      <c r="R9" s="244"/>
      <c r="S9" s="244"/>
      <c r="T9" s="244"/>
      <c r="U9" s="244"/>
    </row>
    <row r="10" spans="1:21" ht="13">
      <c r="C10" s="470" t="s">
        <v>49</v>
      </c>
      <c r="D10" s="471">
        <v>68247469</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2016</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2007278.5</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3:21" ht="12.5">
      <c r="C17" s="496">
        <f>IF(D11= "","-",D11)</f>
        <v>2016</v>
      </c>
      <c r="D17" s="613">
        <v>3408237</v>
      </c>
      <c r="E17" s="621">
        <v>41312.427614067317</v>
      </c>
      <c r="F17" s="613">
        <v>3366924.5723859328</v>
      </c>
      <c r="G17" s="621">
        <v>283462.47353390156</v>
      </c>
      <c r="H17" s="618">
        <v>283462.47353390156</v>
      </c>
      <c r="I17" s="501">
        <f t="shared" ref="I17:I73" si="0">H17-G17</f>
        <v>0</v>
      </c>
      <c r="J17" s="501"/>
      <c r="K17" s="502">
        <f>G17</f>
        <v>283462.47353390156</v>
      </c>
      <c r="L17" s="503">
        <f>IF(K17&lt;&gt;0,+G17-K17,0)</f>
        <v>0</v>
      </c>
      <c r="M17" s="502">
        <f>H17</f>
        <v>283462.47353390156</v>
      </c>
      <c r="N17" s="504">
        <f t="shared" ref="N17:N73" si="1">IF(M17&lt;&gt;0,+H17-M17,0)</f>
        <v>0</v>
      </c>
      <c r="O17" s="505">
        <f t="shared" ref="O17:O73" si="2">+N17-L17</f>
        <v>0</v>
      </c>
      <c r="P17" s="279"/>
      <c r="R17" s="244"/>
      <c r="S17" s="244"/>
      <c r="T17" s="244"/>
      <c r="U17" s="244"/>
    </row>
    <row r="18" spans="3:21" ht="12.5">
      <c r="C18" s="496">
        <f>IF(D11="","-",+C17+1)</f>
        <v>2017</v>
      </c>
      <c r="D18" s="615">
        <v>69080283.572385937</v>
      </c>
      <c r="E18" s="614">
        <v>1359067.4231693465</v>
      </c>
      <c r="F18" s="615">
        <v>67721216.149216592</v>
      </c>
      <c r="G18" s="614">
        <v>8879043.9719662741</v>
      </c>
      <c r="H18" s="618">
        <v>8879043.9719662741</v>
      </c>
      <c r="I18" s="501">
        <f t="shared" si="0"/>
        <v>0</v>
      </c>
      <c r="J18" s="501"/>
      <c r="K18" s="593">
        <f>G18</f>
        <v>8879043.9719662741</v>
      </c>
      <c r="L18" s="597">
        <f>IF(K18&lt;&gt;0,+G18-K18,0)</f>
        <v>0</v>
      </c>
      <c r="M18" s="593">
        <f>H18</f>
        <v>8879043.9719662741</v>
      </c>
      <c r="N18" s="505">
        <f>IF(M18&lt;&gt;0,+H18-M18,0)</f>
        <v>0</v>
      </c>
      <c r="O18" s="505">
        <f>+N18-L18</f>
        <v>0</v>
      </c>
      <c r="P18" s="279"/>
      <c r="R18" s="244"/>
      <c r="S18" s="244"/>
      <c r="T18" s="244"/>
      <c r="U18" s="244"/>
    </row>
    <row r="19" spans="3:21" ht="12.5">
      <c r="C19" s="496">
        <f>IF(D11="","-",+C18+1)</f>
        <v>2018</v>
      </c>
      <c r="D19" s="615">
        <v>67721216.149216592</v>
      </c>
      <c r="E19" s="614">
        <v>1695178.2446698518</v>
      </c>
      <c r="F19" s="615">
        <v>66026037.904546738</v>
      </c>
      <c r="G19" s="614">
        <v>9552229.3614855185</v>
      </c>
      <c r="H19" s="618">
        <v>9552229.3614855185</v>
      </c>
      <c r="I19" s="501">
        <f t="shared" si="0"/>
        <v>0</v>
      </c>
      <c r="J19" s="501"/>
      <c r="K19" s="593">
        <f>G19</f>
        <v>9552229.3614855185</v>
      </c>
      <c r="L19" s="597">
        <f>IF(K19&lt;&gt;0,+G19-K19,0)</f>
        <v>0</v>
      </c>
      <c r="M19" s="593">
        <f>H19</f>
        <v>9552229.3614855185</v>
      </c>
      <c r="N19" s="505">
        <f>IF(M19&lt;&gt;0,+H19-M19,0)</f>
        <v>0</v>
      </c>
      <c r="O19" s="505">
        <f>+N19-L19</f>
        <v>0</v>
      </c>
      <c r="P19" s="279"/>
      <c r="R19" s="244"/>
      <c r="S19" s="244"/>
      <c r="T19" s="244"/>
      <c r="U19" s="244"/>
    </row>
    <row r="20" spans="3:21" ht="12.5">
      <c r="C20" s="496">
        <f>IF(D11="","-",+C19+1)</f>
        <v>2019</v>
      </c>
      <c r="D20" s="615">
        <v>66026037.904546738</v>
      </c>
      <c r="E20" s="614">
        <v>1695178.2446698518</v>
      </c>
      <c r="F20" s="615">
        <v>64330859.659876883</v>
      </c>
      <c r="G20" s="614">
        <v>9353061.1286165137</v>
      </c>
      <c r="H20" s="618">
        <v>9353061.1286165137</v>
      </c>
      <c r="I20" s="501">
        <f t="shared" si="0"/>
        <v>0</v>
      </c>
      <c r="J20" s="501"/>
      <c r="K20" s="593">
        <f>G20</f>
        <v>9353061.1286165137</v>
      </c>
      <c r="L20" s="597">
        <f>IF(K20&lt;&gt;0,+G20-K20,0)</f>
        <v>0</v>
      </c>
      <c r="M20" s="593">
        <f>H20</f>
        <v>9353061.1286165137</v>
      </c>
      <c r="N20" s="505">
        <f>IF(M20&lt;&gt;0,+H20-M20,0)</f>
        <v>0</v>
      </c>
      <c r="O20" s="505">
        <f>+N20-L20</f>
        <v>0</v>
      </c>
      <c r="P20" s="279"/>
      <c r="R20" s="244"/>
      <c r="S20" s="244"/>
      <c r="T20" s="244"/>
      <c r="U20" s="244"/>
    </row>
    <row r="21" spans="3:21" ht="12.5">
      <c r="C21" s="496">
        <f>IF(D11="","-",+C20+1)</f>
        <v>2020</v>
      </c>
      <c r="D21" s="615">
        <v>63456732.659876883</v>
      </c>
      <c r="E21" s="614">
        <v>1998407.404883953</v>
      </c>
      <c r="F21" s="615">
        <v>61458325.254992932</v>
      </c>
      <c r="G21" s="614">
        <v>8552229.9584809169</v>
      </c>
      <c r="H21" s="618">
        <v>8552229.9584809169</v>
      </c>
      <c r="I21" s="501">
        <f t="shared" si="0"/>
        <v>0</v>
      </c>
      <c r="J21" s="501"/>
      <c r="K21" s="593">
        <f>G21</f>
        <v>8552229.9584809169</v>
      </c>
      <c r="L21" s="597">
        <f>IF(K21&lt;&gt;0,+G21-K21,0)</f>
        <v>0</v>
      </c>
      <c r="M21" s="593">
        <f>H21</f>
        <v>8552229.9584809169</v>
      </c>
      <c r="N21" s="505">
        <f t="shared" si="1"/>
        <v>0</v>
      </c>
      <c r="O21" s="505">
        <f t="shared" si="2"/>
        <v>0</v>
      </c>
      <c r="P21" s="279"/>
      <c r="R21" s="244"/>
      <c r="S21" s="244"/>
      <c r="T21" s="244"/>
      <c r="U21" s="244"/>
    </row>
    <row r="22" spans="3:21" ht="12.5">
      <c r="C22" s="496">
        <f>IF(D11="","-",+C21+1)</f>
        <v>2021</v>
      </c>
      <c r="D22" s="511">
        <f>IF(F21+SUM(E$17:E21)=D$10,F21,D$10-SUM(E$17:E21))</f>
        <v>61458325.254992932</v>
      </c>
      <c r="E22" s="510">
        <f>IF(+I14&lt;F21,I14,D22)</f>
        <v>2007278.5</v>
      </c>
      <c r="F22" s="511">
        <f t="shared" ref="F22:F73" si="3">+D22-E22</f>
        <v>59451046.754992932</v>
      </c>
      <c r="G22" s="512">
        <f t="shared" ref="G22:G73" si="4">(D22+F22)/2*I$12+E22</f>
        <v>8440693.8137822933</v>
      </c>
      <c r="H22" s="478">
        <f t="shared" ref="H22:H73" si="5">+(D22+F22)/2*I$13+E22</f>
        <v>8440693.8137822933</v>
      </c>
      <c r="I22" s="501">
        <f t="shared" si="0"/>
        <v>0</v>
      </c>
      <c r="J22" s="501"/>
      <c r="K22" s="513"/>
      <c r="L22" s="505">
        <f t="shared" ref="L22:L73" si="6">IF(K22&lt;&gt;0,+G22-K22,0)</f>
        <v>0</v>
      </c>
      <c r="M22" s="513"/>
      <c r="N22" s="505">
        <f t="shared" si="1"/>
        <v>0</v>
      </c>
      <c r="O22" s="505">
        <f t="shared" si="2"/>
        <v>0</v>
      </c>
      <c r="P22" s="279"/>
      <c r="R22" s="244"/>
      <c r="S22" s="244"/>
      <c r="T22" s="244"/>
      <c r="U22" s="244"/>
    </row>
    <row r="23" spans="3:21" ht="12.5">
      <c r="C23" s="496">
        <f>IF(D11="","-",+C22+1)</f>
        <v>2022</v>
      </c>
      <c r="D23" s="511">
        <f>IF(F22+SUM(E$17:E22)=D$10,F22,D$10-SUM(E$17:E22))</f>
        <v>59451046.754992932</v>
      </c>
      <c r="E23" s="510">
        <f>IF(+I14&lt;F22,I14,D23)</f>
        <v>2007278.5</v>
      </c>
      <c r="F23" s="511">
        <f t="shared" si="3"/>
        <v>57443768.254992932</v>
      </c>
      <c r="G23" s="512">
        <f t="shared" si="4"/>
        <v>8227084.9590467084</v>
      </c>
      <c r="H23" s="478">
        <f t="shared" si="5"/>
        <v>8227084.9590467084</v>
      </c>
      <c r="I23" s="501">
        <f t="shared" si="0"/>
        <v>0</v>
      </c>
      <c r="J23" s="501"/>
      <c r="K23" s="513"/>
      <c r="L23" s="505">
        <f t="shared" si="6"/>
        <v>0</v>
      </c>
      <c r="M23" s="513"/>
      <c r="N23" s="505">
        <f t="shared" si="1"/>
        <v>0</v>
      </c>
      <c r="O23" s="505">
        <f t="shared" si="2"/>
        <v>0</v>
      </c>
      <c r="P23" s="279"/>
      <c r="R23" s="244"/>
      <c r="S23" s="244"/>
      <c r="T23" s="244"/>
      <c r="U23" s="244"/>
    </row>
    <row r="24" spans="3:21" ht="12.5">
      <c r="C24" s="496">
        <f>IF(D11="","-",+C23+1)</f>
        <v>2023</v>
      </c>
      <c r="D24" s="511">
        <f>IF(F23+SUM(E$17:E23)=D$10,F23,D$10-SUM(E$17:E23))</f>
        <v>57443768.254992932</v>
      </c>
      <c r="E24" s="510">
        <f>IF(+I14&lt;F23,I14,D24)</f>
        <v>2007278.5</v>
      </c>
      <c r="F24" s="511">
        <f t="shared" si="3"/>
        <v>55436489.754992932</v>
      </c>
      <c r="G24" s="512">
        <f t="shared" si="4"/>
        <v>8013476.1043111235</v>
      </c>
      <c r="H24" s="478">
        <f t="shared" si="5"/>
        <v>8013476.1043111235</v>
      </c>
      <c r="I24" s="501">
        <f t="shared" si="0"/>
        <v>0</v>
      </c>
      <c r="J24" s="501"/>
      <c r="K24" s="513"/>
      <c r="L24" s="505">
        <f t="shared" si="6"/>
        <v>0</v>
      </c>
      <c r="M24" s="513"/>
      <c r="N24" s="505">
        <f t="shared" si="1"/>
        <v>0</v>
      </c>
      <c r="O24" s="505">
        <f t="shared" si="2"/>
        <v>0</v>
      </c>
      <c r="P24" s="279"/>
      <c r="R24" s="244"/>
      <c r="S24" s="244"/>
      <c r="T24" s="244"/>
      <c r="U24" s="244"/>
    </row>
    <row r="25" spans="3:21" ht="12.5">
      <c r="C25" s="496">
        <f>IF(D11="","-",+C24+1)</f>
        <v>2024</v>
      </c>
      <c r="D25" s="511">
        <f>IF(F24+SUM(E$17:E24)=D$10,F24,D$10-SUM(E$17:E24))</f>
        <v>55436489.754992932</v>
      </c>
      <c r="E25" s="510">
        <f>IF(+I14&lt;F24,I14,D25)</f>
        <v>2007278.5</v>
      </c>
      <c r="F25" s="511">
        <f t="shared" si="3"/>
        <v>53429211.254992932</v>
      </c>
      <c r="G25" s="512">
        <f t="shared" si="4"/>
        <v>7799867.2495755386</v>
      </c>
      <c r="H25" s="478">
        <f t="shared" si="5"/>
        <v>7799867.2495755386</v>
      </c>
      <c r="I25" s="501">
        <f t="shared" si="0"/>
        <v>0</v>
      </c>
      <c r="J25" s="501"/>
      <c r="K25" s="513"/>
      <c r="L25" s="505">
        <f t="shared" si="6"/>
        <v>0</v>
      </c>
      <c r="M25" s="513"/>
      <c r="N25" s="505">
        <f t="shared" si="1"/>
        <v>0</v>
      </c>
      <c r="O25" s="505">
        <f t="shared" si="2"/>
        <v>0</v>
      </c>
      <c r="P25" s="279"/>
      <c r="R25" s="244"/>
      <c r="S25" s="244"/>
      <c r="T25" s="244"/>
      <c r="U25" s="244"/>
    </row>
    <row r="26" spans="3:21" ht="12.5">
      <c r="C26" s="496">
        <f>IF(D11="","-",+C25+1)</f>
        <v>2025</v>
      </c>
      <c r="D26" s="511">
        <f>IF(F25+SUM(E$17:E25)=D$10,F25,D$10-SUM(E$17:E25))</f>
        <v>53429211.254992932</v>
      </c>
      <c r="E26" s="510">
        <f>IF(+I14&lt;F25,I14,D26)</f>
        <v>2007278.5</v>
      </c>
      <c r="F26" s="511">
        <f t="shared" si="3"/>
        <v>51421932.754992932</v>
      </c>
      <c r="G26" s="512">
        <f t="shared" si="4"/>
        <v>7586258.3948399527</v>
      </c>
      <c r="H26" s="478">
        <f t="shared" si="5"/>
        <v>7586258.3948399527</v>
      </c>
      <c r="I26" s="501">
        <f t="shared" si="0"/>
        <v>0</v>
      </c>
      <c r="J26" s="501"/>
      <c r="K26" s="513"/>
      <c r="L26" s="505">
        <f t="shared" si="6"/>
        <v>0</v>
      </c>
      <c r="M26" s="513"/>
      <c r="N26" s="505">
        <f t="shared" si="1"/>
        <v>0</v>
      </c>
      <c r="O26" s="505">
        <f t="shared" si="2"/>
        <v>0</v>
      </c>
      <c r="P26" s="279"/>
      <c r="R26" s="244"/>
      <c r="S26" s="244"/>
      <c r="T26" s="244"/>
      <c r="U26" s="244"/>
    </row>
    <row r="27" spans="3:21" ht="12.5">
      <c r="C27" s="496">
        <f>IF(D11="","-",+C26+1)</f>
        <v>2026</v>
      </c>
      <c r="D27" s="509">
        <f>IF(F26+SUM(E$17:E26)=D$10,F26,D$10-SUM(E$17:E26))</f>
        <v>51421932.754992932</v>
      </c>
      <c r="E27" s="510">
        <f>IF(+I14&lt;F26,I14,D27)</f>
        <v>2007278.5</v>
      </c>
      <c r="F27" s="511">
        <f t="shared" si="3"/>
        <v>49414654.254992932</v>
      </c>
      <c r="G27" s="512">
        <f t="shared" si="4"/>
        <v>7372649.5401043678</v>
      </c>
      <c r="H27" s="478">
        <f t="shared" si="5"/>
        <v>7372649.5401043678</v>
      </c>
      <c r="I27" s="501">
        <f t="shared" si="0"/>
        <v>0</v>
      </c>
      <c r="J27" s="501"/>
      <c r="K27" s="513"/>
      <c r="L27" s="505">
        <f t="shared" si="6"/>
        <v>0</v>
      </c>
      <c r="M27" s="513"/>
      <c r="N27" s="505">
        <f t="shared" si="1"/>
        <v>0</v>
      </c>
      <c r="O27" s="505">
        <f t="shared" si="2"/>
        <v>0</v>
      </c>
      <c r="P27" s="279"/>
      <c r="R27" s="244"/>
      <c r="S27" s="244"/>
      <c r="T27" s="244"/>
      <c r="U27" s="244"/>
    </row>
    <row r="28" spans="3:21" ht="12.5">
      <c r="C28" s="496">
        <f>IF(D11="","-",+C27+1)</f>
        <v>2027</v>
      </c>
      <c r="D28" s="511">
        <f>IF(F27+SUM(E$17:E27)=D$10,F27,D$10-SUM(E$17:E27))</f>
        <v>49414654.254992932</v>
      </c>
      <c r="E28" s="510">
        <f>IF(+I14&lt;F27,I14,D28)</f>
        <v>2007278.5</v>
      </c>
      <c r="F28" s="511">
        <f t="shared" si="3"/>
        <v>47407375.754992932</v>
      </c>
      <c r="G28" s="512">
        <f t="shared" si="4"/>
        <v>7159040.6853687828</v>
      </c>
      <c r="H28" s="478">
        <f t="shared" si="5"/>
        <v>7159040.6853687828</v>
      </c>
      <c r="I28" s="501">
        <f t="shared" si="0"/>
        <v>0</v>
      </c>
      <c r="J28" s="501"/>
      <c r="K28" s="513"/>
      <c r="L28" s="505">
        <f t="shared" si="6"/>
        <v>0</v>
      </c>
      <c r="M28" s="513"/>
      <c r="N28" s="505">
        <f t="shared" si="1"/>
        <v>0</v>
      </c>
      <c r="O28" s="505">
        <f t="shared" si="2"/>
        <v>0</v>
      </c>
      <c r="P28" s="279"/>
      <c r="R28" s="244"/>
      <c r="S28" s="244"/>
      <c r="T28" s="244"/>
      <c r="U28" s="244"/>
    </row>
    <row r="29" spans="3:21" ht="12.5">
      <c r="C29" s="496">
        <f>IF(D11="","-",+C28+1)</f>
        <v>2028</v>
      </c>
      <c r="D29" s="511">
        <f>IF(F28+SUM(E$17:E28)=D$10,F28,D$10-SUM(E$17:E28))</f>
        <v>47407375.754992932</v>
      </c>
      <c r="E29" s="510">
        <f>IF(+I14&lt;F28,I14,D29)</f>
        <v>2007278.5</v>
      </c>
      <c r="F29" s="511">
        <f t="shared" si="3"/>
        <v>45400097.254992932</v>
      </c>
      <c r="G29" s="512">
        <f t="shared" si="4"/>
        <v>6945431.830633197</v>
      </c>
      <c r="H29" s="478">
        <f t="shared" si="5"/>
        <v>6945431.830633197</v>
      </c>
      <c r="I29" s="501">
        <f t="shared" si="0"/>
        <v>0</v>
      </c>
      <c r="J29" s="501"/>
      <c r="K29" s="513"/>
      <c r="L29" s="505">
        <f t="shared" si="6"/>
        <v>0</v>
      </c>
      <c r="M29" s="513"/>
      <c r="N29" s="505">
        <f t="shared" si="1"/>
        <v>0</v>
      </c>
      <c r="O29" s="505">
        <f t="shared" si="2"/>
        <v>0</v>
      </c>
      <c r="P29" s="279"/>
      <c r="R29" s="244"/>
      <c r="S29" s="244"/>
      <c r="T29" s="244"/>
      <c r="U29" s="244"/>
    </row>
    <row r="30" spans="3:21" ht="12.5">
      <c r="C30" s="496">
        <f>IF(D11="","-",+C29+1)</f>
        <v>2029</v>
      </c>
      <c r="D30" s="511">
        <f>IF(F29+SUM(E$17:E29)=D$10,F29,D$10-SUM(E$17:E29))</f>
        <v>45400097.254992932</v>
      </c>
      <c r="E30" s="510">
        <f>IF(+I14&lt;F29,I14,D30)</f>
        <v>2007278.5</v>
      </c>
      <c r="F30" s="511">
        <f t="shared" si="3"/>
        <v>43392818.754992932</v>
      </c>
      <c r="G30" s="512">
        <f t="shared" si="4"/>
        <v>6731822.9758976121</v>
      </c>
      <c r="H30" s="478">
        <f t="shared" si="5"/>
        <v>6731822.9758976121</v>
      </c>
      <c r="I30" s="501">
        <f t="shared" si="0"/>
        <v>0</v>
      </c>
      <c r="J30" s="501"/>
      <c r="K30" s="513"/>
      <c r="L30" s="505">
        <f t="shared" si="6"/>
        <v>0</v>
      </c>
      <c r="M30" s="513"/>
      <c r="N30" s="505">
        <f t="shared" si="1"/>
        <v>0</v>
      </c>
      <c r="O30" s="505">
        <f t="shared" si="2"/>
        <v>0</v>
      </c>
      <c r="P30" s="279"/>
      <c r="R30" s="244"/>
      <c r="S30" s="244"/>
      <c r="T30" s="244"/>
      <c r="U30" s="244"/>
    </row>
    <row r="31" spans="3:21" ht="12.5">
      <c r="C31" s="496">
        <f>IF(D11="","-",+C30+1)</f>
        <v>2030</v>
      </c>
      <c r="D31" s="511">
        <f>IF(F30+SUM(E$17:E30)=D$10,F30,D$10-SUM(E$17:E30))</f>
        <v>43392818.754992932</v>
      </c>
      <c r="E31" s="510">
        <f>IF(+I14&lt;F30,I14,D31)</f>
        <v>2007278.5</v>
      </c>
      <c r="F31" s="511">
        <f t="shared" si="3"/>
        <v>41385540.254992932</v>
      </c>
      <c r="G31" s="512">
        <f t="shared" si="4"/>
        <v>6518214.1211620271</v>
      </c>
      <c r="H31" s="478">
        <f t="shared" si="5"/>
        <v>6518214.1211620271</v>
      </c>
      <c r="I31" s="501">
        <f t="shared" si="0"/>
        <v>0</v>
      </c>
      <c r="J31" s="501"/>
      <c r="K31" s="513"/>
      <c r="L31" s="505">
        <f t="shared" si="6"/>
        <v>0</v>
      </c>
      <c r="M31" s="513"/>
      <c r="N31" s="505">
        <f t="shared" si="1"/>
        <v>0</v>
      </c>
      <c r="O31" s="505">
        <f t="shared" si="2"/>
        <v>0</v>
      </c>
      <c r="P31" s="279"/>
      <c r="Q31" s="221"/>
      <c r="R31" s="279"/>
      <c r="S31" s="279"/>
      <c r="T31" s="279"/>
      <c r="U31" s="244"/>
    </row>
    <row r="32" spans="3:21" ht="12.5">
      <c r="C32" s="496">
        <f>IF(D12="","-",+C31+1)</f>
        <v>2031</v>
      </c>
      <c r="D32" s="511">
        <f>IF(F31+SUM(E$17:E31)=D$10,F31,D$10-SUM(E$17:E31))</f>
        <v>41385540.254992932</v>
      </c>
      <c r="E32" s="510">
        <f>IF(+I14&lt;F31,I14,D32)</f>
        <v>2007278.5</v>
      </c>
      <c r="F32" s="511">
        <f>+D32-E32</f>
        <v>39378261.754992932</v>
      </c>
      <c r="G32" s="512">
        <f t="shared" si="4"/>
        <v>6304605.2664264413</v>
      </c>
      <c r="H32" s="478">
        <f t="shared" si="5"/>
        <v>6304605.2664264413</v>
      </c>
      <c r="I32" s="501">
        <f>H32-G32</f>
        <v>0</v>
      </c>
      <c r="J32" s="501"/>
      <c r="K32" s="513"/>
      <c r="L32" s="505">
        <f>IF(K32&lt;&gt;0,+G32-K32,0)</f>
        <v>0</v>
      </c>
      <c r="M32" s="513"/>
      <c r="N32" s="505">
        <f>IF(M32&lt;&gt;0,+H32-M32,0)</f>
        <v>0</v>
      </c>
      <c r="O32" s="505">
        <f>+N32-L32</f>
        <v>0</v>
      </c>
      <c r="P32" s="279"/>
      <c r="Q32" s="221"/>
      <c r="R32" s="279"/>
      <c r="S32" s="279"/>
      <c r="T32" s="279"/>
      <c r="U32" s="244"/>
    </row>
    <row r="33" spans="3:21" ht="12.5">
      <c r="C33" s="496">
        <f>IF(D13="","-",+C32+1)</f>
        <v>2032</v>
      </c>
      <c r="D33" s="511">
        <f>IF(F32+SUM(E$17:E32)=D$10,F32,D$10-SUM(E$17:E32))</f>
        <v>39378261.754992932</v>
      </c>
      <c r="E33" s="510">
        <f>IF(+I14&lt;F32,I14,D33)</f>
        <v>2007278.5</v>
      </c>
      <c r="F33" s="511">
        <f>+D33-E33</f>
        <v>37370983.254992932</v>
      </c>
      <c r="G33" s="512">
        <f t="shared" si="4"/>
        <v>6090996.4116908563</v>
      </c>
      <c r="H33" s="478">
        <f t="shared" si="5"/>
        <v>6090996.4116908563</v>
      </c>
      <c r="I33" s="501">
        <f>H33-G33</f>
        <v>0</v>
      </c>
      <c r="J33" s="501"/>
      <c r="K33" s="513"/>
      <c r="L33" s="505">
        <f>IF(K33&lt;&gt;0,+G33-K33,0)</f>
        <v>0</v>
      </c>
      <c r="M33" s="513"/>
      <c r="N33" s="505">
        <f>IF(M33&lt;&gt;0,+H33-M33,0)</f>
        <v>0</v>
      </c>
      <c r="O33" s="505">
        <f>+N33-L33</f>
        <v>0</v>
      </c>
      <c r="P33" s="279"/>
      <c r="R33" s="244"/>
      <c r="S33" s="244"/>
      <c r="T33" s="244"/>
      <c r="U33" s="244"/>
    </row>
    <row r="34" spans="3:21" ht="12.5">
      <c r="C34" s="514">
        <f>IF(D11="","-",+C33+1)</f>
        <v>2033</v>
      </c>
      <c r="D34" s="517">
        <f>IF(F33+SUM(E$17:E33)=D$10,F33,D$10-SUM(E$17:E33))</f>
        <v>37370983.254992932</v>
      </c>
      <c r="E34" s="516">
        <f>IF(+I14&lt;F33,I14,D34)</f>
        <v>2007278.5</v>
      </c>
      <c r="F34" s="517">
        <f t="shared" si="3"/>
        <v>35363704.754992932</v>
      </c>
      <c r="G34" s="512">
        <f t="shared" si="4"/>
        <v>5877387.5569552714</v>
      </c>
      <c r="H34" s="478">
        <f t="shared" si="5"/>
        <v>5877387.5569552714</v>
      </c>
      <c r="I34" s="520">
        <f t="shared" si="0"/>
        <v>0</v>
      </c>
      <c r="J34" s="520"/>
      <c r="K34" s="521"/>
      <c r="L34" s="522">
        <f t="shared" si="6"/>
        <v>0</v>
      </c>
      <c r="M34" s="521"/>
      <c r="N34" s="522">
        <f t="shared" si="1"/>
        <v>0</v>
      </c>
      <c r="O34" s="522">
        <f t="shared" si="2"/>
        <v>0</v>
      </c>
      <c r="P34" s="523"/>
      <c r="Q34" s="217"/>
      <c r="R34" s="523"/>
      <c r="S34" s="523"/>
      <c r="T34" s="523"/>
      <c r="U34" s="244"/>
    </row>
    <row r="35" spans="3:21" ht="12.5">
      <c r="C35" s="496">
        <f>IF(D11="","-",+C34+1)</f>
        <v>2034</v>
      </c>
      <c r="D35" s="511">
        <f>IF(F34+SUM(E$17:E34)=D$10,F34,D$10-SUM(E$17:E34))</f>
        <v>35363704.754992932</v>
      </c>
      <c r="E35" s="510">
        <f>IF(+I14&lt;F34,I14,D35)</f>
        <v>2007278.5</v>
      </c>
      <c r="F35" s="511">
        <f t="shared" si="3"/>
        <v>33356426.254992932</v>
      </c>
      <c r="G35" s="512">
        <f t="shared" si="4"/>
        <v>5663778.7022196855</v>
      </c>
      <c r="H35" s="478">
        <f t="shared" si="5"/>
        <v>5663778.7022196855</v>
      </c>
      <c r="I35" s="501">
        <f t="shared" si="0"/>
        <v>0</v>
      </c>
      <c r="J35" s="501"/>
      <c r="K35" s="513"/>
      <c r="L35" s="505">
        <f t="shared" si="6"/>
        <v>0</v>
      </c>
      <c r="M35" s="513"/>
      <c r="N35" s="505">
        <f t="shared" si="1"/>
        <v>0</v>
      </c>
      <c r="O35" s="505">
        <f t="shared" si="2"/>
        <v>0</v>
      </c>
      <c r="P35" s="279"/>
      <c r="R35" s="244"/>
      <c r="S35" s="244"/>
      <c r="T35" s="244"/>
      <c r="U35" s="244"/>
    </row>
    <row r="36" spans="3:21" ht="12.5">
      <c r="C36" s="496">
        <f>IF(D11="","-",+C35+1)</f>
        <v>2035</v>
      </c>
      <c r="D36" s="511">
        <f>IF(F35+SUM(E$17:E35)=D$10,F35,D$10-SUM(E$17:E35))</f>
        <v>33356426.254992932</v>
      </c>
      <c r="E36" s="510">
        <f>IF(+I14&lt;F35,I14,D36)</f>
        <v>2007278.5</v>
      </c>
      <c r="F36" s="511">
        <f t="shared" si="3"/>
        <v>31349147.754992932</v>
      </c>
      <c r="G36" s="512">
        <f t="shared" si="4"/>
        <v>5450169.8474841006</v>
      </c>
      <c r="H36" s="478">
        <f t="shared" si="5"/>
        <v>5450169.8474841006</v>
      </c>
      <c r="I36" s="501">
        <f t="shared" si="0"/>
        <v>0</v>
      </c>
      <c r="J36" s="501"/>
      <c r="K36" s="513"/>
      <c r="L36" s="505">
        <f t="shared" si="6"/>
        <v>0</v>
      </c>
      <c r="M36" s="513"/>
      <c r="N36" s="505">
        <f t="shared" si="1"/>
        <v>0</v>
      </c>
      <c r="O36" s="505">
        <f t="shared" si="2"/>
        <v>0</v>
      </c>
      <c r="P36" s="279"/>
      <c r="R36" s="244"/>
      <c r="S36" s="244"/>
      <c r="T36" s="244"/>
      <c r="U36" s="244"/>
    </row>
    <row r="37" spans="3:21" ht="12.5">
      <c r="C37" s="496">
        <f>IF(D11="","-",+C36+1)</f>
        <v>2036</v>
      </c>
      <c r="D37" s="511">
        <f>IF(F36+SUM(E$17:E36)=D$10,F36,D$10-SUM(E$17:E36))</f>
        <v>31349147.754992932</v>
      </c>
      <c r="E37" s="510">
        <f>IF(+I14&lt;F36,I14,D37)</f>
        <v>2007278.5</v>
      </c>
      <c r="F37" s="511">
        <f t="shared" si="3"/>
        <v>29341869.254992932</v>
      </c>
      <c r="G37" s="512">
        <f t="shared" si="4"/>
        <v>5236560.9927485157</v>
      </c>
      <c r="H37" s="478">
        <f t="shared" si="5"/>
        <v>5236560.9927485157</v>
      </c>
      <c r="I37" s="501">
        <f t="shared" si="0"/>
        <v>0</v>
      </c>
      <c r="J37" s="501"/>
      <c r="K37" s="513"/>
      <c r="L37" s="505">
        <f t="shared" si="6"/>
        <v>0</v>
      </c>
      <c r="M37" s="513"/>
      <c r="N37" s="505">
        <f t="shared" si="1"/>
        <v>0</v>
      </c>
      <c r="O37" s="505">
        <f t="shared" si="2"/>
        <v>0</v>
      </c>
      <c r="P37" s="279"/>
      <c r="R37" s="244"/>
      <c r="S37" s="244"/>
      <c r="T37" s="244"/>
      <c r="U37" s="244"/>
    </row>
    <row r="38" spans="3:21" ht="12.5">
      <c r="C38" s="496">
        <f>IF(D11="","-",+C37+1)</f>
        <v>2037</v>
      </c>
      <c r="D38" s="511">
        <f>IF(F37+SUM(E$17:E37)=D$10,F37,D$10-SUM(E$17:E37))</f>
        <v>29341869.254992932</v>
      </c>
      <c r="E38" s="510">
        <f>IF(+I14&lt;F37,I14,D38)</f>
        <v>2007278.5</v>
      </c>
      <c r="F38" s="511">
        <f t="shared" si="3"/>
        <v>27334590.754992932</v>
      </c>
      <c r="G38" s="512">
        <f t="shared" si="4"/>
        <v>5022952.1380129308</v>
      </c>
      <c r="H38" s="478">
        <f t="shared" si="5"/>
        <v>5022952.1380129308</v>
      </c>
      <c r="I38" s="501">
        <f t="shared" si="0"/>
        <v>0</v>
      </c>
      <c r="J38" s="501"/>
      <c r="K38" s="513"/>
      <c r="L38" s="505">
        <f t="shared" si="6"/>
        <v>0</v>
      </c>
      <c r="M38" s="513"/>
      <c r="N38" s="505">
        <f t="shared" si="1"/>
        <v>0</v>
      </c>
      <c r="O38" s="505">
        <f t="shared" si="2"/>
        <v>0</v>
      </c>
      <c r="P38" s="279"/>
      <c r="R38" s="244"/>
      <c r="S38" s="244"/>
      <c r="T38" s="244"/>
      <c r="U38" s="244"/>
    </row>
    <row r="39" spans="3:21" ht="12.5">
      <c r="C39" s="496">
        <f>IF(D11="","-",+C38+1)</f>
        <v>2038</v>
      </c>
      <c r="D39" s="511">
        <f>IF(F38+SUM(E$17:E38)=D$10,F38,D$10-SUM(E$17:E38))</f>
        <v>27334590.754992932</v>
      </c>
      <c r="E39" s="510">
        <f>IF(+I14&lt;F38,I14,D39)</f>
        <v>2007278.5</v>
      </c>
      <c r="F39" s="511">
        <f t="shared" si="3"/>
        <v>25327312.254992932</v>
      </c>
      <c r="G39" s="512">
        <f t="shared" si="4"/>
        <v>4809343.2832773449</v>
      </c>
      <c r="H39" s="478">
        <f t="shared" si="5"/>
        <v>4809343.2832773449</v>
      </c>
      <c r="I39" s="501">
        <f t="shared" si="0"/>
        <v>0</v>
      </c>
      <c r="J39" s="501"/>
      <c r="K39" s="513"/>
      <c r="L39" s="505">
        <f t="shared" si="6"/>
        <v>0</v>
      </c>
      <c r="M39" s="513"/>
      <c r="N39" s="505">
        <f t="shared" si="1"/>
        <v>0</v>
      </c>
      <c r="O39" s="505">
        <f t="shared" si="2"/>
        <v>0</v>
      </c>
      <c r="P39" s="279"/>
      <c r="R39" s="244"/>
      <c r="S39" s="244"/>
      <c r="T39" s="244"/>
      <c r="U39" s="244"/>
    </row>
    <row r="40" spans="3:21" ht="12.5">
      <c r="C40" s="496">
        <f>IF(D11="","-",+C39+1)</f>
        <v>2039</v>
      </c>
      <c r="D40" s="511">
        <f>IF(F39+SUM(E$17:E39)=D$10,F39,D$10-SUM(E$17:E39))</f>
        <v>25327312.254992932</v>
      </c>
      <c r="E40" s="510">
        <f>IF(+I14&lt;F39,I14,D40)</f>
        <v>2007278.5</v>
      </c>
      <c r="F40" s="511">
        <f t="shared" si="3"/>
        <v>23320033.754992932</v>
      </c>
      <c r="G40" s="512">
        <f t="shared" si="4"/>
        <v>4595734.42854176</v>
      </c>
      <c r="H40" s="478">
        <f t="shared" si="5"/>
        <v>4595734.42854176</v>
      </c>
      <c r="I40" s="501">
        <f t="shared" si="0"/>
        <v>0</v>
      </c>
      <c r="J40" s="501"/>
      <c r="K40" s="513"/>
      <c r="L40" s="505">
        <f t="shared" si="6"/>
        <v>0</v>
      </c>
      <c r="M40" s="513"/>
      <c r="N40" s="505">
        <f t="shared" si="1"/>
        <v>0</v>
      </c>
      <c r="O40" s="505">
        <f t="shared" si="2"/>
        <v>0</v>
      </c>
      <c r="P40" s="279"/>
      <c r="R40" s="244"/>
      <c r="S40" s="244"/>
      <c r="T40" s="244"/>
      <c r="U40" s="244"/>
    </row>
    <row r="41" spans="3:21" ht="12.5">
      <c r="C41" s="496">
        <f>IF(D12="","-",+C40+1)</f>
        <v>2040</v>
      </c>
      <c r="D41" s="511">
        <f>IF(F40+SUM(E$17:E40)=D$10,F40,D$10-SUM(E$17:E40))</f>
        <v>23320033.754992932</v>
      </c>
      <c r="E41" s="510">
        <f>IF(+I14&lt;F40,I14,D41)</f>
        <v>2007278.5</v>
      </c>
      <c r="F41" s="511">
        <f t="shared" si="3"/>
        <v>21312755.254992932</v>
      </c>
      <c r="G41" s="512">
        <f t="shared" si="4"/>
        <v>4382125.5738061741</v>
      </c>
      <c r="H41" s="478">
        <f t="shared" si="5"/>
        <v>4382125.5738061741</v>
      </c>
      <c r="I41" s="501">
        <f t="shared" si="0"/>
        <v>0</v>
      </c>
      <c r="J41" s="501"/>
      <c r="K41" s="513"/>
      <c r="L41" s="505">
        <f t="shared" si="6"/>
        <v>0</v>
      </c>
      <c r="M41" s="513"/>
      <c r="N41" s="505">
        <f t="shared" si="1"/>
        <v>0</v>
      </c>
      <c r="O41" s="505">
        <f t="shared" si="2"/>
        <v>0</v>
      </c>
      <c r="P41" s="279"/>
      <c r="R41" s="244"/>
      <c r="S41" s="244"/>
      <c r="T41" s="244"/>
      <c r="U41" s="244"/>
    </row>
    <row r="42" spans="3:21" ht="12.5">
      <c r="C42" s="496">
        <f>IF(D13="","-",+C41+1)</f>
        <v>2041</v>
      </c>
      <c r="D42" s="511">
        <f>IF(F41+SUM(E$17:E41)=D$10,F41,D$10-SUM(E$17:E41))</f>
        <v>21312755.254992932</v>
      </c>
      <c r="E42" s="510">
        <f>IF(+I14&lt;F41,I14,D42)</f>
        <v>2007278.5</v>
      </c>
      <c r="F42" s="511">
        <f t="shared" si="3"/>
        <v>19305476.754992932</v>
      </c>
      <c r="G42" s="512">
        <f t="shared" si="4"/>
        <v>4168516.7190705896</v>
      </c>
      <c r="H42" s="478">
        <f t="shared" si="5"/>
        <v>4168516.7190705896</v>
      </c>
      <c r="I42" s="501">
        <f t="shared" si="0"/>
        <v>0</v>
      </c>
      <c r="J42" s="501"/>
      <c r="K42" s="513"/>
      <c r="L42" s="505">
        <f t="shared" si="6"/>
        <v>0</v>
      </c>
      <c r="M42" s="513"/>
      <c r="N42" s="505">
        <f t="shared" si="1"/>
        <v>0</v>
      </c>
      <c r="O42" s="505">
        <f t="shared" si="2"/>
        <v>0</v>
      </c>
      <c r="P42" s="279"/>
      <c r="R42" s="244"/>
      <c r="S42" s="244"/>
      <c r="T42" s="244"/>
      <c r="U42" s="244"/>
    </row>
    <row r="43" spans="3:21" ht="12.5">
      <c r="C43" s="496">
        <f>IF(D14="","-",+C42+1)</f>
        <v>2042</v>
      </c>
      <c r="D43" s="511">
        <f>IF(F42+SUM(E$17:E42)=D$10,F42,D$10-SUM(E$17:E42))</f>
        <v>19305476.754992932</v>
      </c>
      <c r="E43" s="510">
        <f>IF(+I14&lt;F42,I14,D43)</f>
        <v>2007278.5</v>
      </c>
      <c r="F43" s="511">
        <f t="shared" si="3"/>
        <v>17298198.254992932</v>
      </c>
      <c r="G43" s="512">
        <f t="shared" si="4"/>
        <v>3954907.8643350042</v>
      </c>
      <c r="H43" s="478">
        <f t="shared" si="5"/>
        <v>3954907.8643350042</v>
      </c>
      <c r="I43" s="501">
        <f t="shared" si="0"/>
        <v>0</v>
      </c>
      <c r="J43" s="501"/>
      <c r="K43" s="513"/>
      <c r="L43" s="505">
        <f t="shared" si="6"/>
        <v>0</v>
      </c>
      <c r="M43" s="513"/>
      <c r="N43" s="505">
        <f t="shared" si="1"/>
        <v>0</v>
      </c>
      <c r="O43" s="505">
        <f t="shared" si="2"/>
        <v>0</v>
      </c>
      <c r="P43" s="279"/>
      <c r="R43" s="244"/>
      <c r="S43" s="244"/>
      <c r="T43" s="244"/>
      <c r="U43" s="244"/>
    </row>
    <row r="44" spans="3:21" ht="12.5">
      <c r="C44" s="496">
        <f>IF(D11="","-",+C43+1)</f>
        <v>2043</v>
      </c>
      <c r="D44" s="511">
        <f>IF(F43+SUM(E$17:E43)=D$10,F43,D$10-SUM(E$17:E43))</f>
        <v>17298198.254992932</v>
      </c>
      <c r="E44" s="510">
        <f>IF(+I14&lt;F43,I14,D44)</f>
        <v>2007278.5</v>
      </c>
      <c r="F44" s="511">
        <f t="shared" si="3"/>
        <v>15290919.754992932</v>
      </c>
      <c r="G44" s="512">
        <f t="shared" si="4"/>
        <v>3741299.0095994193</v>
      </c>
      <c r="H44" s="478">
        <f t="shared" si="5"/>
        <v>3741299.0095994193</v>
      </c>
      <c r="I44" s="501">
        <f t="shared" si="0"/>
        <v>0</v>
      </c>
      <c r="J44" s="501"/>
      <c r="K44" s="513"/>
      <c r="L44" s="505">
        <f t="shared" si="6"/>
        <v>0</v>
      </c>
      <c r="M44" s="513"/>
      <c r="N44" s="505">
        <f t="shared" si="1"/>
        <v>0</v>
      </c>
      <c r="O44" s="505">
        <f t="shared" si="2"/>
        <v>0</v>
      </c>
      <c r="P44" s="279"/>
      <c r="R44" s="244"/>
      <c r="S44" s="244"/>
      <c r="T44" s="244"/>
      <c r="U44" s="244"/>
    </row>
    <row r="45" spans="3:21" ht="12.5">
      <c r="C45" s="496">
        <f>IF(D11="","-",+C44+1)</f>
        <v>2044</v>
      </c>
      <c r="D45" s="511">
        <f>IF(F44+SUM(E$17:E44)=D$10,F44,D$10-SUM(E$17:E44))</f>
        <v>15290919.754992932</v>
      </c>
      <c r="E45" s="510">
        <f>IF(+I14&lt;F44,I14,D45)</f>
        <v>2007278.5</v>
      </c>
      <c r="F45" s="511">
        <f t="shared" si="3"/>
        <v>13283641.254992932</v>
      </c>
      <c r="G45" s="512">
        <f t="shared" si="4"/>
        <v>3527690.1548638334</v>
      </c>
      <c r="H45" s="478">
        <f t="shared" si="5"/>
        <v>3527690.1548638334</v>
      </c>
      <c r="I45" s="501">
        <f t="shared" si="0"/>
        <v>0</v>
      </c>
      <c r="J45" s="501"/>
      <c r="K45" s="513"/>
      <c r="L45" s="505">
        <f t="shared" si="6"/>
        <v>0</v>
      </c>
      <c r="M45" s="513"/>
      <c r="N45" s="505">
        <f t="shared" si="1"/>
        <v>0</v>
      </c>
      <c r="O45" s="505">
        <f t="shared" si="2"/>
        <v>0</v>
      </c>
      <c r="P45" s="279"/>
      <c r="R45" s="244"/>
      <c r="S45" s="244"/>
      <c r="T45" s="244"/>
      <c r="U45" s="244"/>
    </row>
    <row r="46" spans="3:21" ht="12.5">
      <c r="C46" s="496">
        <f>IF(D11="","-",+C45+1)</f>
        <v>2045</v>
      </c>
      <c r="D46" s="511">
        <f>IF(F45+SUM(E$17:E45)=D$10,F45,D$10-SUM(E$17:E45))</f>
        <v>13283641.254992932</v>
      </c>
      <c r="E46" s="510">
        <f>IF(+I14&lt;F45,I14,D46)</f>
        <v>2007278.5</v>
      </c>
      <c r="F46" s="511">
        <f t="shared" si="3"/>
        <v>11276362.754992932</v>
      </c>
      <c r="G46" s="512">
        <f t="shared" si="4"/>
        <v>3314081.3001282485</v>
      </c>
      <c r="H46" s="478">
        <f t="shared" si="5"/>
        <v>3314081.3001282485</v>
      </c>
      <c r="I46" s="501">
        <f t="shared" si="0"/>
        <v>0</v>
      </c>
      <c r="J46" s="501"/>
      <c r="K46" s="513"/>
      <c r="L46" s="505">
        <f t="shared" si="6"/>
        <v>0</v>
      </c>
      <c r="M46" s="513"/>
      <c r="N46" s="505">
        <f t="shared" si="1"/>
        <v>0</v>
      </c>
      <c r="O46" s="505">
        <f t="shared" si="2"/>
        <v>0</v>
      </c>
      <c r="P46" s="279"/>
      <c r="R46" s="244"/>
      <c r="S46" s="244"/>
      <c r="T46" s="244"/>
      <c r="U46" s="244"/>
    </row>
    <row r="47" spans="3:21" ht="12.5">
      <c r="C47" s="496">
        <f>IF(D11="","-",+C46+1)</f>
        <v>2046</v>
      </c>
      <c r="D47" s="511">
        <f>IF(F46+SUM(E$17:E46)=D$10,F46,D$10-SUM(E$17:E46))</f>
        <v>11276362.754992932</v>
      </c>
      <c r="E47" s="510">
        <f>IF(+I14&lt;F46,I14,D47)</f>
        <v>2007278.5</v>
      </c>
      <c r="F47" s="511">
        <f t="shared" si="3"/>
        <v>9269084.2549929321</v>
      </c>
      <c r="G47" s="512">
        <f t="shared" si="4"/>
        <v>3100472.4453926636</v>
      </c>
      <c r="H47" s="478">
        <f t="shared" si="5"/>
        <v>3100472.4453926636</v>
      </c>
      <c r="I47" s="501">
        <f t="shared" si="0"/>
        <v>0</v>
      </c>
      <c r="J47" s="501"/>
      <c r="K47" s="513"/>
      <c r="L47" s="505">
        <f t="shared" si="6"/>
        <v>0</v>
      </c>
      <c r="M47" s="513"/>
      <c r="N47" s="505">
        <f t="shared" si="1"/>
        <v>0</v>
      </c>
      <c r="O47" s="505">
        <f t="shared" si="2"/>
        <v>0</v>
      </c>
      <c r="P47" s="279"/>
      <c r="R47" s="244"/>
      <c r="S47" s="244"/>
      <c r="T47" s="244"/>
      <c r="U47" s="244"/>
    </row>
    <row r="48" spans="3:21" ht="12.5">
      <c r="C48" s="496">
        <f>IF(D11="","-",+C47+1)</f>
        <v>2047</v>
      </c>
      <c r="D48" s="511">
        <f>IF(F47+SUM(E$17:E47)=D$10,F47,D$10-SUM(E$17:E47))</f>
        <v>9269084.2549929321</v>
      </c>
      <c r="E48" s="510">
        <f>IF(+I14&lt;F47,I14,D48)</f>
        <v>2007278.5</v>
      </c>
      <c r="F48" s="511">
        <f t="shared" si="3"/>
        <v>7261805.7549929321</v>
      </c>
      <c r="G48" s="512">
        <f t="shared" si="4"/>
        <v>2886863.5906570782</v>
      </c>
      <c r="H48" s="478">
        <f t="shared" si="5"/>
        <v>2886863.5906570782</v>
      </c>
      <c r="I48" s="501">
        <f t="shared" si="0"/>
        <v>0</v>
      </c>
      <c r="J48" s="501"/>
      <c r="K48" s="513"/>
      <c r="L48" s="505">
        <f t="shared" si="6"/>
        <v>0</v>
      </c>
      <c r="M48" s="513"/>
      <c r="N48" s="505">
        <f t="shared" si="1"/>
        <v>0</v>
      </c>
      <c r="O48" s="505">
        <f t="shared" si="2"/>
        <v>0</v>
      </c>
      <c r="P48" s="279"/>
      <c r="R48" s="244"/>
      <c r="S48" s="244"/>
      <c r="T48" s="244"/>
      <c r="U48" s="244"/>
    </row>
    <row r="49" spans="3:21" ht="12.5">
      <c r="C49" s="496">
        <f>IF(D11="","-",+C48+1)</f>
        <v>2048</v>
      </c>
      <c r="D49" s="511">
        <f>IF(F48+SUM(E$17:E48)=D$10,F48,D$10-SUM(E$17:E48))</f>
        <v>7261805.7549929321</v>
      </c>
      <c r="E49" s="510">
        <f>IF(+I14&lt;F48,I14,D49)</f>
        <v>2007278.5</v>
      </c>
      <c r="F49" s="511">
        <f t="shared" si="3"/>
        <v>5254527.2549929321</v>
      </c>
      <c r="G49" s="512">
        <f t="shared" si="4"/>
        <v>2673254.7359214928</v>
      </c>
      <c r="H49" s="478">
        <f t="shared" si="5"/>
        <v>2673254.7359214928</v>
      </c>
      <c r="I49" s="501">
        <f t="shared" si="0"/>
        <v>0</v>
      </c>
      <c r="J49" s="501"/>
      <c r="K49" s="513"/>
      <c r="L49" s="505">
        <f t="shared" si="6"/>
        <v>0</v>
      </c>
      <c r="M49" s="513"/>
      <c r="N49" s="505">
        <f t="shared" si="1"/>
        <v>0</v>
      </c>
      <c r="O49" s="505">
        <f t="shared" si="2"/>
        <v>0</v>
      </c>
      <c r="P49" s="279"/>
      <c r="R49" s="244"/>
      <c r="S49" s="244"/>
      <c r="T49" s="244"/>
      <c r="U49" s="244"/>
    </row>
    <row r="50" spans="3:21" ht="12.5">
      <c r="C50" s="496">
        <f>IF(D11="","-",+C49+1)</f>
        <v>2049</v>
      </c>
      <c r="D50" s="511">
        <f>IF(F49+SUM(E$17:E49)=D$10,F49,D$10-SUM(E$17:E49))</f>
        <v>5254527.2549929321</v>
      </c>
      <c r="E50" s="510">
        <f>IF(+I14&lt;F49,I14,D50)</f>
        <v>2007278.5</v>
      </c>
      <c r="F50" s="511">
        <f t="shared" si="3"/>
        <v>3247248.7549929321</v>
      </c>
      <c r="G50" s="512">
        <f t="shared" si="4"/>
        <v>2459645.8811859079</v>
      </c>
      <c r="H50" s="478">
        <f t="shared" si="5"/>
        <v>2459645.8811859079</v>
      </c>
      <c r="I50" s="501">
        <f t="shared" si="0"/>
        <v>0</v>
      </c>
      <c r="J50" s="501"/>
      <c r="K50" s="513"/>
      <c r="L50" s="505">
        <f t="shared" si="6"/>
        <v>0</v>
      </c>
      <c r="M50" s="513"/>
      <c r="N50" s="505">
        <f t="shared" si="1"/>
        <v>0</v>
      </c>
      <c r="O50" s="505">
        <f t="shared" si="2"/>
        <v>0</v>
      </c>
      <c r="P50" s="279"/>
      <c r="R50" s="244"/>
      <c r="S50" s="244"/>
      <c r="T50" s="244"/>
      <c r="U50" s="244"/>
    </row>
    <row r="51" spans="3:21" ht="12.5">
      <c r="C51" s="496">
        <f>IF(D11="","-",+C50+1)</f>
        <v>2050</v>
      </c>
      <c r="D51" s="511">
        <f>IF(F50+SUM(E$17:E50)=D$10,F50,D$10-SUM(E$17:E50))</f>
        <v>3247248.7549929321</v>
      </c>
      <c r="E51" s="510">
        <f>IF(+I14&lt;F50,I14,D51)</f>
        <v>2007278.5</v>
      </c>
      <c r="F51" s="511">
        <f t="shared" si="3"/>
        <v>1239970.2549929321</v>
      </c>
      <c r="G51" s="512">
        <f t="shared" si="4"/>
        <v>2246037.0264503225</v>
      </c>
      <c r="H51" s="478">
        <f t="shared" si="5"/>
        <v>2246037.0264503225</v>
      </c>
      <c r="I51" s="501">
        <f t="shared" si="0"/>
        <v>0</v>
      </c>
      <c r="J51" s="501"/>
      <c r="K51" s="513"/>
      <c r="L51" s="505">
        <f t="shared" si="6"/>
        <v>0</v>
      </c>
      <c r="M51" s="513"/>
      <c r="N51" s="505">
        <f t="shared" si="1"/>
        <v>0</v>
      </c>
      <c r="O51" s="505">
        <f t="shared" si="2"/>
        <v>0</v>
      </c>
      <c r="P51" s="279"/>
      <c r="R51" s="244"/>
      <c r="S51" s="244"/>
      <c r="T51" s="244"/>
      <c r="U51" s="244"/>
    </row>
    <row r="52" spans="3:21" ht="12.5">
      <c r="C52" s="496">
        <f>IF(D11="","-",+C51+1)</f>
        <v>2051</v>
      </c>
      <c r="D52" s="511">
        <f>IF(F51+SUM(E$17:E51)=D$10,F51,D$10-SUM(E$17:E51))</f>
        <v>1239970.2549929321</v>
      </c>
      <c r="E52" s="510">
        <f>IF(+I14&lt;F51,I14,D52)</f>
        <v>1239970.2549929321</v>
      </c>
      <c r="F52" s="511">
        <f t="shared" si="3"/>
        <v>0</v>
      </c>
      <c r="G52" s="512">
        <f t="shared" si="4"/>
        <v>1305947.3045341971</v>
      </c>
      <c r="H52" s="478">
        <f t="shared" si="5"/>
        <v>1305947.3045341971</v>
      </c>
      <c r="I52" s="501">
        <f t="shared" si="0"/>
        <v>0</v>
      </c>
      <c r="J52" s="501"/>
      <c r="K52" s="513"/>
      <c r="L52" s="505">
        <f t="shared" si="6"/>
        <v>0</v>
      </c>
      <c r="M52" s="513"/>
      <c r="N52" s="505">
        <f t="shared" si="1"/>
        <v>0</v>
      </c>
      <c r="O52" s="505">
        <f t="shared" si="2"/>
        <v>0</v>
      </c>
      <c r="P52" s="279"/>
      <c r="R52" s="244"/>
      <c r="S52" s="244"/>
      <c r="T52" s="244"/>
      <c r="U52" s="244"/>
    </row>
    <row r="53" spans="3:21" ht="12.5">
      <c r="C53" s="496">
        <f>IF(D11="","-",+C52+1)</f>
        <v>2052</v>
      </c>
      <c r="D53" s="511">
        <f>IF(F52+SUM(E$17:E52)=D$10,F52,D$10-SUM(E$17:E52))</f>
        <v>0</v>
      </c>
      <c r="E53" s="510">
        <f>IF(+I14&lt;F52,I14,D53)</f>
        <v>0</v>
      </c>
      <c r="F53" s="511">
        <f t="shared" si="3"/>
        <v>0</v>
      </c>
      <c r="G53" s="512">
        <f t="shared" si="4"/>
        <v>0</v>
      </c>
      <c r="H53" s="478">
        <f t="shared" si="5"/>
        <v>0</v>
      </c>
      <c r="I53" s="501">
        <f t="shared" si="0"/>
        <v>0</v>
      </c>
      <c r="J53" s="501"/>
      <c r="K53" s="513"/>
      <c r="L53" s="505">
        <f t="shared" si="6"/>
        <v>0</v>
      </c>
      <c r="M53" s="513"/>
      <c r="N53" s="505">
        <f t="shared" si="1"/>
        <v>0</v>
      </c>
      <c r="O53" s="505">
        <f t="shared" si="2"/>
        <v>0</v>
      </c>
      <c r="P53" s="279"/>
      <c r="R53" s="244"/>
      <c r="S53" s="244"/>
      <c r="T53" s="244"/>
      <c r="U53" s="244"/>
    </row>
    <row r="54" spans="3:21" ht="12.5">
      <c r="C54" s="496">
        <f>IF(D11="","-",+C53+1)</f>
        <v>2053</v>
      </c>
      <c r="D54" s="511">
        <f>IF(F53+SUM(E$17:E53)=D$10,F53,D$10-SUM(E$17:E53))</f>
        <v>0</v>
      </c>
      <c r="E54" s="510">
        <f>IF(+I14&lt;F53,I14,D54)</f>
        <v>0</v>
      </c>
      <c r="F54" s="511">
        <f t="shared" si="3"/>
        <v>0</v>
      </c>
      <c r="G54" s="512">
        <f t="shared" si="4"/>
        <v>0</v>
      </c>
      <c r="H54" s="478">
        <f t="shared" si="5"/>
        <v>0</v>
      </c>
      <c r="I54" s="501">
        <f t="shared" si="0"/>
        <v>0</v>
      </c>
      <c r="J54" s="501"/>
      <c r="K54" s="513"/>
      <c r="L54" s="505">
        <f t="shared" si="6"/>
        <v>0</v>
      </c>
      <c r="M54" s="513"/>
      <c r="N54" s="505">
        <f t="shared" si="1"/>
        <v>0</v>
      </c>
      <c r="O54" s="505">
        <f t="shared" si="2"/>
        <v>0</v>
      </c>
      <c r="P54" s="279"/>
      <c r="R54" s="244"/>
      <c r="S54" s="244"/>
      <c r="T54" s="244"/>
      <c r="U54" s="244"/>
    </row>
    <row r="55" spans="3:21" ht="12.5">
      <c r="C55" s="496">
        <f>IF(D11="","-",+C54+1)</f>
        <v>2054</v>
      </c>
      <c r="D55" s="511">
        <f>IF(F54+SUM(E$17:E54)=D$10,F54,D$10-SUM(E$17:E54))</f>
        <v>0</v>
      </c>
      <c r="E55" s="510">
        <f>IF(+I14&lt;F54,I14,D55)</f>
        <v>0</v>
      </c>
      <c r="F55" s="511">
        <f t="shared" si="3"/>
        <v>0</v>
      </c>
      <c r="G55" s="512">
        <f t="shared" si="4"/>
        <v>0</v>
      </c>
      <c r="H55" s="478">
        <f t="shared" si="5"/>
        <v>0</v>
      </c>
      <c r="I55" s="501">
        <f t="shared" si="0"/>
        <v>0</v>
      </c>
      <c r="J55" s="501"/>
      <c r="K55" s="513"/>
      <c r="L55" s="505">
        <f t="shared" si="6"/>
        <v>0</v>
      </c>
      <c r="M55" s="513"/>
      <c r="N55" s="505">
        <f t="shared" si="1"/>
        <v>0</v>
      </c>
      <c r="O55" s="505">
        <f t="shared" si="2"/>
        <v>0</v>
      </c>
      <c r="P55" s="279"/>
      <c r="R55" s="244"/>
      <c r="S55" s="244"/>
      <c r="T55" s="244"/>
      <c r="U55" s="244"/>
    </row>
    <row r="56" spans="3:21" ht="12.5">
      <c r="C56" s="496">
        <f>IF(D11="","-",+C55+1)</f>
        <v>2055</v>
      </c>
      <c r="D56" s="511">
        <f>IF(F55+SUM(E$17:E55)=D$10,F55,D$10-SUM(E$17:E55))</f>
        <v>0</v>
      </c>
      <c r="E56" s="510">
        <f>IF(+I14&lt;F55,I14,D56)</f>
        <v>0</v>
      </c>
      <c r="F56" s="511">
        <f t="shared" si="3"/>
        <v>0</v>
      </c>
      <c r="G56" s="512">
        <f t="shared" si="4"/>
        <v>0</v>
      </c>
      <c r="H56" s="478">
        <f t="shared" si="5"/>
        <v>0</v>
      </c>
      <c r="I56" s="501">
        <f t="shared" si="0"/>
        <v>0</v>
      </c>
      <c r="J56" s="501"/>
      <c r="K56" s="513"/>
      <c r="L56" s="505">
        <f t="shared" si="6"/>
        <v>0</v>
      </c>
      <c r="M56" s="513"/>
      <c r="N56" s="505">
        <f t="shared" si="1"/>
        <v>0</v>
      </c>
      <c r="O56" s="505">
        <f t="shared" si="2"/>
        <v>0</v>
      </c>
      <c r="P56" s="279"/>
      <c r="R56" s="244"/>
      <c r="S56" s="244"/>
      <c r="T56" s="244"/>
      <c r="U56" s="244"/>
    </row>
    <row r="57" spans="3:21" ht="12.5">
      <c r="C57" s="496">
        <f>IF(D11="","-",+C56+1)</f>
        <v>2056</v>
      </c>
      <c r="D57" s="511">
        <f>IF(F56+SUM(E$17:E56)=D$10,F56,D$10-SUM(E$17:E56))</f>
        <v>0</v>
      </c>
      <c r="E57" s="510">
        <f>IF(+I14&lt;F56,I14,D57)</f>
        <v>0</v>
      </c>
      <c r="F57" s="511">
        <f t="shared" si="3"/>
        <v>0</v>
      </c>
      <c r="G57" s="512">
        <f t="shared" si="4"/>
        <v>0</v>
      </c>
      <c r="H57" s="478">
        <f t="shared" si="5"/>
        <v>0</v>
      </c>
      <c r="I57" s="501">
        <f t="shared" si="0"/>
        <v>0</v>
      </c>
      <c r="J57" s="501"/>
      <c r="K57" s="513"/>
      <c r="L57" s="505">
        <f t="shared" si="6"/>
        <v>0</v>
      </c>
      <c r="M57" s="513"/>
      <c r="N57" s="505">
        <f t="shared" si="1"/>
        <v>0</v>
      </c>
      <c r="O57" s="505">
        <f t="shared" si="2"/>
        <v>0</v>
      </c>
      <c r="P57" s="279"/>
      <c r="R57" s="244"/>
      <c r="S57" s="244"/>
      <c r="T57" s="244"/>
      <c r="U57" s="244"/>
    </row>
    <row r="58" spans="3:21" ht="12.5">
      <c r="C58" s="496">
        <f>IF(D11="","-",+C57+1)</f>
        <v>2057</v>
      </c>
      <c r="D58" s="511">
        <f>IF(F57+SUM(E$17:E57)=D$10,F57,D$10-SUM(E$17:E57))</f>
        <v>0</v>
      </c>
      <c r="E58" s="510">
        <f>IF(+I14&lt;F57,I14,D58)</f>
        <v>0</v>
      </c>
      <c r="F58" s="511">
        <f t="shared" si="3"/>
        <v>0</v>
      </c>
      <c r="G58" s="512">
        <f t="shared" si="4"/>
        <v>0</v>
      </c>
      <c r="H58" s="478">
        <f t="shared" si="5"/>
        <v>0</v>
      </c>
      <c r="I58" s="501">
        <f t="shared" si="0"/>
        <v>0</v>
      </c>
      <c r="J58" s="501"/>
      <c r="K58" s="513"/>
      <c r="L58" s="505">
        <f t="shared" si="6"/>
        <v>0</v>
      </c>
      <c r="M58" s="513"/>
      <c r="N58" s="505">
        <f t="shared" si="1"/>
        <v>0</v>
      </c>
      <c r="O58" s="505">
        <f t="shared" si="2"/>
        <v>0</v>
      </c>
      <c r="P58" s="279"/>
      <c r="R58" s="244"/>
      <c r="S58" s="244"/>
      <c r="T58" s="244"/>
      <c r="U58" s="244"/>
    </row>
    <row r="59" spans="3:21" ht="12.5">
      <c r="C59" s="496">
        <f>IF(D11="","-",+C58+1)</f>
        <v>2058</v>
      </c>
      <c r="D59" s="511">
        <f>IF(F58+SUM(E$17:E58)=D$10,F58,D$10-SUM(E$17:E58))</f>
        <v>0</v>
      </c>
      <c r="E59" s="510">
        <f>IF(+I14&lt;F58,I14,D59)</f>
        <v>0</v>
      </c>
      <c r="F59" s="511">
        <f t="shared" si="3"/>
        <v>0</v>
      </c>
      <c r="G59" s="512">
        <f t="shared" si="4"/>
        <v>0</v>
      </c>
      <c r="H59" s="478">
        <f t="shared" si="5"/>
        <v>0</v>
      </c>
      <c r="I59" s="501">
        <f t="shared" si="0"/>
        <v>0</v>
      </c>
      <c r="J59" s="501"/>
      <c r="K59" s="513"/>
      <c r="L59" s="505">
        <f t="shared" si="6"/>
        <v>0</v>
      </c>
      <c r="M59" s="513"/>
      <c r="N59" s="505">
        <f t="shared" si="1"/>
        <v>0</v>
      </c>
      <c r="O59" s="505">
        <f t="shared" si="2"/>
        <v>0</v>
      </c>
      <c r="P59" s="279"/>
      <c r="R59" s="244"/>
      <c r="S59" s="244"/>
      <c r="T59" s="244"/>
      <c r="U59" s="244"/>
    </row>
    <row r="60" spans="3:21" ht="12.5">
      <c r="C60" s="496">
        <f>IF(D11="","-",+C59+1)</f>
        <v>2059</v>
      </c>
      <c r="D60" s="511">
        <f>IF(F59+SUM(E$17:E59)=D$10,F59,D$10-SUM(E$17:E59))</f>
        <v>0</v>
      </c>
      <c r="E60" s="510">
        <f>IF(+I14&lt;F59,I14,D60)</f>
        <v>0</v>
      </c>
      <c r="F60" s="511">
        <f t="shared" si="3"/>
        <v>0</v>
      </c>
      <c r="G60" s="512">
        <f t="shared" si="4"/>
        <v>0</v>
      </c>
      <c r="H60" s="478">
        <f t="shared" si="5"/>
        <v>0</v>
      </c>
      <c r="I60" s="501">
        <f t="shared" si="0"/>
        <v>0</v>
      </c>
      <c r="J60" s="501"/>
      <c r="K60" s="513"/>
      <c r="L60" s="505">
        <f t="shared" si="6"/>
        <v>0</v>
      </c>
      <c r="M60" s="513"/>
      <c r="N60" s="505">
        <f t="shared" si="1"/>
        <v>0</v>
      </c>
      <c r="O60" s="505">
        <f t="shared" si="2"/>
        <v>0</v>
      </c>
      <c r="P60" s="279"/>
      <c r="R60" s="244"/>
      <c r="S60" s="244"/>
      <c r="T60" s="244"/>
      <c r="U60" s="244"/>
    </row>
    <row r="61" spans="3:21" ht="12.5">
      <c r="C61" s="496">
        <f>IF(D11="","-",+C60+1)</f>
        <v>2060</v>
      </c>
      <c r="D61" s="511">
        <f>IF(F60+SUM(E$17:E60)=D$10,F60,D$10-SUM(E$17:E60))</f>
        <v>0</v>
      </c>
      <c r="E61" s="510">
        <f>IF(+I14&lt;F60,I14,D61)</f>
        <v>0</v>
      </c>
      <c r="F61" s="511">
        <f t="shared" si="3"/>
        <v>0</v>
      </c>
      <c r="G61" s="512">
        <f t="shared" si="4"/>
        <v>0</v>
      </c>
      <c r="H61" s="478">
        <f t="shared" si="5"/>
        <v>0</v>
      </c>
      <c r="I61" s="501">
        <f t="shared" si="0"/>
        <v>0</v>
      </c>
      <c r="J61" s="501"/>
      <c r="K61" s="513"/>
      <c r="L61" s="505">
        <f t="shared" si="6"/>
        <v>0</v>
      </c>
      <c r="M61" s="513"/>
      <c r="N61" s="505">
        <f t="shared" si="1"/>
        <v>0</v>
      </c>
      <c r="O61" s="505">
        <f t="shared" si="2"/>
        <v>0</v>
      </c>
      <c r="P61" s="279"/>
      <c r="R61" s="244"/>
      <c r="S61" s="244"/>
      <c r="T61" s="244"/>
      <c r="U61" s="244"/>
    </row>
    <row r="62" spans="3:21" ht="12.5">
      <c r="C62" s="496">
        <f>IF(D11="","-",+C61+1)</f>
        <v>2061</v>
      </c>
      <c r="D62" s="511">
        <f>IF(F61+SUM(E$17:E61)=D$10,F61,D$10-SUM(E$17:E61))</f>
        <v>0</v>
      </c>
      <c r="E62" s="510">
        <f>IF(+I14&lt;F61,I14,D62)</f>
        <v>0</v>
      </c>
      <c r="F62" s="511">
        <f t="shared" si="3"/>
        <v>0</v>
      </c>
      <c r="G62" s="512">
        <f t="shared" si="4"/>
        <v>0</v>
      </c>
      <c r="H62" s="478">
        <f t="shared" si="5"/>
        <v>0</v>
      </c>
      <c r="I62" s="501">
        <f t="shared" si="0"/>
        <v>0</v>
      </c>
      <c r="J62" s="501"/>
      <c r="K62" s="513"/>
      <c r="L62" s="505">
        <f t="shared" si="6"/>
        <v>0</v>
      </c>
      <c r="M62" s="513"/>
      <c r="N62" s="505">
        <f t="shared" si="1"/>
        <v>0</v>
      </c>
      <c r="O62" s="505">
        <f t="shared" si="2"/>
        <v>0</v>
      </c>
      <c r="P62" s="279"/>
      <c r="R62" s="244"/>
      <c r="S62" s="244"/>
      <c r="T62" s="244"/>
      <c r="U62" s="244"/>
    </row>
    <row r="63" spans="3:21" ht="12.5">
      <c r="C63" s="496">
        <f>IF(D11="","-",+C62+1)</f>
        <v>2062</v>
      </c>
      <c r="D63" s="511">
        <f>IF(F62+SUM(E$17:E62)=D$10,F62,D$10-SUM(E$17:E62))</f>
        <v>0</v>
      </c>
      <c r="E63" s="510">
        <f>IF(+I14&lt;F62,I14,D63)</f>
        <v>0</v>
      </c>
      <c r="F63" s="511">
        <f t="shared" si="3"/>
        <v>0</v>
      </c>
      <c r="G63" s="512">
        <f t="shared" si="4"/>
        <v>0</v>
      </c>
      <c r="H63" s="478">
        <f t="shared" si="5"/>
        <v>0</v>
      </c>
      <c r="I63" s="501">
        <f t="shared" si="0"/>
        <v>0</v>
      </c>
      <c r="J63" s="501"/>
      <c r="K63" s="513"/>
      <c r="L63" s="505">
        <f t="shared" si="6"/>
        <v>0</v>
      </c>
      <c r="M63" s="513"/>
      <c r="N63" s="505">
        <f t="shared" si="1"/>
        <v>0</v>
      </c>
      <c r="O63" s="505">
        <f t="shared" si="2"/>
        <v>0</v>
      </c>
      <c r="P63" s="279"/>
      <c r="R63" s="244"/>
      <c r="S63" s="244"/>
      <c r="T63" s="244"/>
      <c r="U63" s="244"/>
    </row>
    <row r="64" spans="3:21" ht="12.5">
      <c r="C64" s="496">
        <f>IF(D11="","-",+C63+1)</f>
        <v>2063</v>
      </c>
      <c r="D64" s="511">
        <f>IF(F63+SUM(E$17:E63)=D$10,F63,D$10-SUM(E$17:E63))</f>
        <v>0</v>
      </c>
      <c r="E64" s="510">
        <f>IF(+I14&lt;F63,I14,D64)</f>
        <v>0</v>
      </c>
      <c r="F64" s="511">
        <f t="shared" si="3"/>
        <v>0</v>
      </c>
      <c r="G64" s="512">
        <f t="shared" si="4"/>
        <v>0</v>
      </c>
      <c r="H64" s="478">
        <f t="shared" si="5"/>
        <v>0</v>
      </c>
      <c r="I64" s="501">
        <f t="shared" si="0"/>
        <v>0</v>
      </c>
      <c r="J64" s="501"/>
      <c r="K64" s="513"/>
      <c r="L64" s="505">
        <f t="shared" si="6"/>
        <v>0</v>
      </c>
      <c r="M64" s="513"/>
      <c r="N64" s="505">
        <f t="shared" si="1"/>
        <v>0</v>
      </c>
      <c r="O64" s="505">
        <f t="shared" si="2"/>
        <v>0</v>
      </c>
      <c r="P64" s="279"/>
      <c r="R64" s="244"/>
      <c r="S64" s="244"/>
      <c r="T64" s="244"/>
      <c r="U64" s="244"/>
    </row>
    <row r="65" spans="2:21" ht="12.5">
      <c r="C65" s="496">
        <f>IF(D11="","-",+C64+1)</f>
        <v>2064</v>
      </c>
      <c r="D65" s="511">
        <f>IF(F64+SUM(E$17:E64)=D$10,F64,D$10-SUM(E$17:E64))</f>
        <v>0</v>
      </c>
      <c r="E65" s="510">
        <f>IF(+I14&lt;F64,I14,D65)</f>
        <v>0</v>
      </c>
      <c r="F65" s="511">
        <f t="shared" si="3"/>
        <v>0</v>
      </c>
      <c r="G65" s="512">
        <f t="shared" si="4"/>
        <v>0</v>
      </c>
      <c r="H65" s="478">
        <f t="shared" si="5"/>
        <v>0</v>
      </c>
      <c r="I65" s="501">
        <f t="shared" si="0"/>
        <v>0</v>
      </c>
      <c r="J65" s="501"/>
      <c r="K65" s="513"/>
      <c r="L65" s="505">
        <f t="shared" si="6"/>
        <v>0</v>
      </c>
      <c r="M65" s="513"/>
      <c r="N65" s="505">
        <f t="shared" si="1"/>
        <v>0</v>
      </c>
      <c r="O65" s="505">
        <f t="shared" si="2"/>
        <v>0</v>
      </c>
      <c r="P65" s="279"/>
      <c r="R65" s="244"/>
      <c r="S65" s="244"/>
      <c r="T65" s="244"/>
      <c r="U65" s="244"/>
    </row>
    <row r="66" spans="2:21" ht="12.5">
      <c r="C66" s="496">
        <f>IF(D11="","-",+C65+1)</f>
        <v>2065</v>
      </c>
      <c r="D66" s="511">
        <f>IF(F65+SUM(E$17:E65)=D$10,F65,D$10-SUM(E$17:E65))</f>
        <v>0</v>
      </c>
      <c r="E66" s="510">
        <f>IF(+I14&lt;F65,I14,D66)</f>
        <v>0</v>
      </c>
      <c r="F66" s="511">
        <f t="shared" si="3"/>
        <v>0</v>
      </c>
      <c r="G66" s="512">
        <f t="shared" si="4"/>
        <v>0</v>
      </c>
      <c r="H66" s="478">
        <f t="shared" si="5"/>
        <v>0</v>
      </c>
      <c r="I66" s="501">
        <f t="shared" si="0"/>
        <v>0</v>
      </c>
      <c r="J66" s="501"/>
      <c r="K66" s="513"/>
      <c r="L66" s="505">
        <f t="shared" si="6"/>
        <v>0</v>
      </c>
      <c r="M66" s="513"/>
      <c r="N66" s="505">
        <f t="shared" si="1"/>
        <v>0</v>
      </c>
      <c r="O66" s="505">
        <f t="shared" si="2"/>
        <v>0</v>
      </c>
      <c r="P66" s="279"/>
      <c r="R66" s="244"/>
      <c r="S66" s="244"/>
      <c r="T66" s="244"/>
      <c r="U66" s="244"/>
    </row>
    <row r="67" spans="2:21" ht="12.5">
      <c r="C67" s="496">
        <f>IF(D11="","-",+C66+1)</f>
        <v>2066</v>
      </c>
      <c r="D67" s="511">
        <f>IF(F66+SUM(E$17:E66)=D$10,F66,D$10-SUM(E$17:E66))</f>
        <v>0</v>
      </c>
      <c r="E67" s="510">
        <f>IF(+I14&lt;F66,I14,D67)</f>
        <v>0</v>
      </c>
      <c r="F67" s="511">
        <f t="shared" si="3"/>
        <v>0</v>
      </c>
      <c r="G67" s="512">
        <f t="shared" si="4"/>
        <v>0</v>
      </c>
      <c r="H67" s="478">
        <f t="shared" si="5"/>
        <v>0</v>
      </c>
      <c r="I67" s="501">
        <f t="shared" si="0"/>
        <v>0</v>
      </c>
      <c r="J67" s="501"/>
      <c r="K67" s="513"/>
      <c r="L67" s="505">
        <f t="shared" si="6"/>
        <v>0</v>
      </c>
      <c r="M67" s="513"/>
      <c r="N67" s="505">
        <f t="shared" si="1"/>
        <v>0</v>
      </c>
      <c r="O67" s="505">
        <f t="shared" si="2"/>
        <v>0</v>
      </c>
      <c r="P67" s="279"/>
      <c r="R67" s="244"/>
      <c r="S67" s="244"/>
      <c r="T67" s="244"/>
      <c r="U67" s="244"/>
    </row>
    <row r="68" spans="2:21" ht="12.5">
      <c r="C68" s="496">
        <f>IF(D11="","-",+C67+1)</f>
        <v>2067</v>
      </c>
      <c r="D68" s="511">
        <f>IF(F67+SUM(E$17:E67)=D$10,F67,D$10-SUM(E$17:E67))</f>
        <v>0</v>
      </c>
      <c r="E68" s="510">
        <f>IF(+I14&lt;F67,I14,D68)</f>
        <v>0</v>
      </c>
      <c r="F68" s="511">
        <f t="shared" si="3"/>
        <v>0</v>
      </c>
      <c r="G68" s="512">
        <f t="shared" si="4"/>
        <v>0</v>
      </c>
      <c r="H68" s="478">
        <f t="shared" si="5"/>
        <v>0</v>
      </c>
      <c r="I68" s="501">
        <f t="shared" si="0"/>
        <v>0</v>
      </c>
      <c r="J68" s="501"/>
      <c r="K68" s="513"/>
      <c r="L68" s="505">
        <f t="shared" si="6"/>
        <v>0</v>
      </c>
      <c r="M68" s="513"/>
      <c r="N68" s="505">
        <f t="shared" si="1"/>
        <v>0</v>
      </c>
      <c r="O68" s="505">
        <f t="shared" si="2"/>
        <v>0</v>
      </c>
      <c r="P68" s="279"/>
      <c r="R68" s="244"/>
      <c r="S68" s="244"/>
      <c r="T68" s="244"/>
      <c r="U68" s="244"/>
    </row>
    <row r="69" spans="2:21" ht="12.5">
      <c r="C69" s="496">
        <f>IF(D11="","-",+C68+1)</f>
        <v>2068</v>
      </c>
      <c r="D69" s="511">
        <f>IF(F68+SUM(E$17:E68)=D$10,F68,D$10-SUM(E$17:E68))</f>
        <v>0</v>
      </c>
      <c r="E69" s="510">
        <f>IF(+I14&lt;F68,I14,D69)</f>
        <v>0</v>
      </c>
      <c r="F69" s="511">
        <f t="shared" si="3"/>
        <v>0</v>
      </c>
      <c r="G69" s="512">
        <f t="shared" si="4"/>
        <v>0</v>
      </c>
      <c r="H69" s="478">
        <f t="shared" si="5"/>
        <v>0</v>
      </c>
      <c r="I69" s="501">
        <f t="shared" si="0"/>
        <v>0</v>
      </c>
      <c r="J69" s="501"/>
      <c r="K69" s="513"/>
      <c r="L69" s="505">
        <f t="shared" si="6"/>
        <v>0</v>
      </c>
      <c r="M69" s="513"/>
      <c r="N69" s="505">
        <f t="shared" si="1"/>
        <v>0</v>
      </c>
      <c r="O69" s="505">
        <f t="shared" si="2"/>
        <v>0</v>
      </c>
      <c r="P69" s="279"/>
      <c r="R69" s="244"/>
      <c r="S69" s="244"/>
      <c r="T69" s="244"/>
      <c r="U69" s="244"/>
    </row>
    <row r="70" spans="2:21" ht="12.5">
      <c r="C70" s="496">
        <f>IF(D11="","-",+C69+1)</f>
        <v>2069</v>
      </c>
      <c r="D70" s="511">
        <f>IF(F69+SUM(E$17:E69)=D$10,F69,D$10-SUM(E$17:E69))</f>
        <v>0</v>
      </c>
      <c r="E70" s="510">
        <f>IF(+I14&lt;F69,I14,D70)</f>
        <v>0</v>
      </c>
      <c r="F70" s="511">
        <f t="shared" si="3"/>
        <v>0</v>
      </c>
      <c r="G70" s="512">
        <f t="shared" si="4"/>
        <v>0</v>
      </c>
      <c r="H70" s="478">
        <f t="shared" si="5"/>
        <v>0</v>
      </c>
      <c r="I70" s="501">
        <f t="shared" si="0"/>
        <v>0</v>
      </c>
      <c r="J70" s="501"/>
      <c r="K70" s="513"/>
      <c r="L70" s="505">
        <f t="shared" si="6"/>
        <v>0</v>
      </c>
      <c r="M70" s="513"/>
      <c r="N70" s="505">
        <f t="shared" si="1"/>
        <v>0</v>
      </c>
      <c r="O70" s="505">
        <f t="shared" si="2"/>
        <v>0</v>
      </c>
      <c r="P70" s="279"/>
      <c r="R70" s="244"/>
      <c r="S70" s="244"/>
      <c r="T70" s="244"/>
      <c r="U70" s="244"/>
    </row>
    <row r="71" spans="2:21" ht="12.5">
      <c r="C71" s="496">
        <f>IF(D11="","-",+C70+1)</f>
        <v>2070</v>
      </c>
      <c r="D71" s="511">
        <f>IF(F70+SUM(E$17:E70)=D$10,F70,D$10-SUM(E$17:E70))</f>
        <v>0</v>
      </c>
      <c r="E71" s="510">
        <f>IF(+I14&lt;F70,I14,D71)</f>
        <v>0</v>
      </c>
      <c r="F71" s="511">
        <f t="shared" si="3"/>
        <v>0</v>
      </c>
      <c r="G71" s="512">
        <f t="shared" si="4"/>
        <v>0</v>
      </c>
      <c r="H71" s="478">
        <f t="shared" si="5"/>
        <v>0</v>
      </c>
      <c r="I71" s="501">
        <f t="shared" si="0"/>
        <v>0</v>
      </c>
      <c r="J71" s="501"/>
      <c r="K71" s="513"/>
      <c r="L71" s="505">
        <f t="shared" si="6"/>
        <v>0</v>
      </c>
      <c r="M71" s="513"/>
      <c r="N71" s="505">
        <f t="shared" si="1"/>
        <v>0</v>
      </c>
      <c r="O71" s="505">
        <f t="shared" si="2"/>
        <v>0</v>
      </c>
      <c r="P71" s="279"/>
      <c r="R71" s="244"/>
      <c r="S71" s="244"/>
      <c r="T71" s="244"/>
      <c r="U71" s="244"/>
    </row>
    <row r="72" spans="2:21" ht="12.5">
      <c r="C72" s="496">
        <f>IF(D11="","-",+C71+1)</f>
        <v>2071</v>
      </c>
      <c r="D72" s="511">
        <f>IF(F71+SUM(E$17:E71)=D$10,F71,D$10-SUM(E$17:E71))</f>
        <v>0</v>
      </c>
      <c r="E72" s="510">
        <f>IF(+I14&lt;F71,I14,D72)</f>
        <v>0</v>
      </c>
      <c r="F72" s="511">
        <f t="shared" si="3"/>
        <v>0</v>
      </c>
      <c r="G72" s="512">
        <f t="shared" si="4"/>
        <v>0</v>
      </c>
      <c r="H72" s="478">
        <f t="shared" si="5"/>
        <v>0</v>
      </c>
      <c r="I72" s="501">
        <f t="shared" si="0"/>
        <v>0</v>
      </c>
      <c r="J72" s="501"/>
      <c r="K72" s="513"/>
      <c r="L72" s="505">
        <f t="shared" si="6"/>
        <v>0</v>
      </c>
      <c r="M72" s="513"/>
      <c r="N72" s="505">
        <f t="shared" si="1"/>
        <v>0</v>
      </c>
      <c r="O72" s="505">
        <f t="shared" si="2"/>
        <v>0</v>
      </c>
      <c r="P72" s="279"/>
      <c r="R72" s="244"/>
      <c r="S72" s="244"/>
      <c r="T72" s="244"/>
      <c r="U72" s="244"/>
    </row>
    <row r="73" spans="2:21" ht="13" thickBot="1">
      <c r="C73" s="525">
        <f>IF(D11="","-",+C72+1)</f>
        <v>2072</v>
      </c>
      <c r="D73" s="528">
        <f>IF(F72+SUM(E$17:E72)=D$10,F72,D$10-SUM(E$17:E72))</f>
        <v>0</v>
      </c>
      <c r="E73" s="527">
        <f>IF(+I14&lt;F72,I14,D73)</f>
        <v>0</v>
      </c>
      <c r="F73" s="528">
        <f t="shared" si="3"/>
        <v>0</v>
      </c>
      <c r="G73" s="528">
        <f t="shared" si="4"/>
        <v>0</v>
      </c>
      <c r="H73" s="528">
        <f t="shared" si="5"/>
        <v>0</v>
      </c>
      <c r="I73" s="530">
        <f t="shared" si="0"/>
        <v>0</v>
      </c>
      <c r="J73" s="501"/>
      <c r="K73" s="531"/>
      <c r="L73" s="532">
        <f t="shared" si="6"/>
        <v>0</v>
      </c>
      <c r="M73" s="531"/>
      <c r="N73" s="532">
        <f t="shared" si="1"/>
        <v>0</v>
      </c>
      <c r="O73" s="532">
        <f t="shared" si="2"/>
        <v>0</v>
      </c>
      <c r="P73" s="279"/>
      <c r="R73" s="244"/>
      <c r="S73" s="244"/>
      <c r="T73" s="244"/>
      <c r="U73" s="244"/>
    </row>
    <row r="74" spans="2:21" ht="12.5">
      <c r="C74" s="350" t="s">
        <v>75</v>
      </c>
      <c r="D74" s="295"/>
      <c r="E74" s="295">
        <f>SUM(E17:E73)</f>
        <v>68247469</v>
      </c>
      <c r="F74" s="295"/>
      <c r="G74" s="295">
        <f>SUM(G17:G73)</f>
        <v>198226936.80210662</v>
      </c>
      <c r="H74" s="295">
        <f>SUM(H17:H73)</f>
        <v>198226936.80210662</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14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8552229.9584809169</v>
      </c>
      <c r="N88" s="545">
        <f>IF(J93&lt;D11,0,VLOOKUP(J93,C17:O73,11))</f>
        <v>8552229.9584809169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8805113.9847133383</v>
      </c>
      <c r="N89" s="549">
        <f>IF(J93&lt;D11,0,VLOOKUP(J93,C100:P155,7))</f>
        <v>8805113.9847133383</v>
      </c>
      <c r="O89" s="550">
        <f>+N89-M89</f>
        <v>0</v>
      </c>
      <c r="P89" s="244"/>
      <c r="Q89" s="244"/>
      <c r="R89" s="244"/>
      <c r="S89" s="244"/>
      <c r="T89" s="244"/>
      <c r="U89" s="244"/>
    </row>
    <row r="90" spans="1:21" ht="13.5" thickBot="1">
      <c r="C90" s="455" t="s">
        <v>82</v>
      </c>
      <c r="D90" s="551" t="str">
        <f>+D7</f>
        <v>Valliant-NW Texarkana 345 kV</v>
      </c>
      <c r="E90" s="244"/>
      <c r="F90" s="244"/>
      <c r="G90" s="244"/>
      <c r="H90" s="244"/>
      <c r="I90" s="326"/>
      <c r="J90" s="326"/>
      <c r="K90" s="552"/>
      <c r="L90" s="553" t="s">
        <v>135</v>
      </c>
      <c r="M90" s="554">
        <f>+M89-M88</f>
        <v>252884.0262324214</v>
      </c>
      <c r="N90" s="554">
        <f>+N89-N88</f>
        <v>252884.0262324214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 2009089</v>
      </c>
      <c r="E92" s="559"/>
      <c r="F92" s="559"/>
      <c r="G92" s="559"/>
      <c r="H92" s="559"/>
      <c r="I92" s="559"/>
      <c r="J92" s="559"/>
      <c r="K92" s="561"/>
      <c r="P92" s="469"/>
      <c r="Q92" s="244"/>
      <c r="R92" s="244"/>
      <c r="S92" s="244"/>
      <c r="T92" s="244"/>
      <c r="U92" s="244"/>
    </row>
    <row r="93" spans="1:21" ht="13">
      <c r="C93" s="473" t="s">
        <v>49</v>
      </c>
      <c r="D93" s="471">
        <v>68247469</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2016</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12</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2437409.6071428573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2016</v>
      </c>
      <c r="D100" s="497">
        <v>0</v>
      </c>
      <c r="E100" s="499">
        <v>1692714.9</v>
      </c>
      <c r="F100" s="506">
        <v>67708596</v>
      </c>
      <c r="G100" s="506">
        <v>33854298</v>
      </c>
      <c r="H100" s="499">
        <v>3668771.9731289423</v>
      </c>
      <c r="I100" s="500">
        <v>3668771.9731289423</v>
      </c>
      <c r="J100" s="505">
        <f t="shared" ref="J100:J131" si="7">+I100-H100</f>
        <v>0</v>
      </c>
      <c r="K100" s="505"/>
      <c r="L100" s="505">
        <f>+H100</f>
        <v>3668771.9731289423</v>
      </c>
      <c r="M100" s="504">
        <f t="shared" ref="M100:M131" si="8">IF(L100&lt;&gt;0,+H100-L100,0)</f>
        <v>0</v>
      </c>
      <c r="N100" s="505">
        <f>+I100</f>
        <v>3668771.9731289423</v>
      </c>
      <c r="O100" s="504">
        <f t="shared" ref="O100:O131" si="9">IF(N100&lt;&gt;0,+I100-N100,0)</f>
        <v>0</v>
      </c>
      <c r="P100" s="504">
        <f t="shared" ref="P100:P131" si="10">+O100-M100</f>
        <v>0</v>
      </c>
      <c r="Q100" s="244"/>
      <c r="R100" s="244"/>
      <c r="S100" s="244"/>
      <c r="T100" s="244"/>
      <c r="U100" s="244"/>
    </row>
    <row r="101" spans="1:21" ht="12.5">
      <c r="C101" s="496">
        <f>IF(D94="","-",+C100+1)</f>
        <v>2017</v>
      </c>
      <c r="D101" s="497">
        <v>66537373.100000001</v>
      </c>
      <c r="E101" s="499">
        <v>1705752.2</v>
      </c>
      <c r="F101" s="506">
        <v>64831620.899999999</v>
      </c>
      <c r="G101" s="506">
        <v>65684497</v>
      </c>
      <c r="H101" s="499">
        <v>9412899.4207950477</v>
      </c>
      <c r="I101" s="500">
        <v>9412899.4207950477</v>
      </c>
      <c r="J101" s="505">
        <f t="shared" si="7"/>
        <v>0</v>
      </c>
      <c r="K101" s="505"/>
      <c r="L101" s="505">
        <f>H101</f>
        <v>9412899.4207950477</v>
      </c>
      <c r="M101" s="505">
        <f>IF(L101&lt;&gt;0,+H101-L101,0)</f>
        <v>0</v>
      </c>
      <c r="N101" s="505">
        <f>I101</f>
        <v>9412899.4207950477</v>
      </c>
      <c r="O101" s="505">
        <f>IF(N101&lt;&gt;0,+I101-N101,0)</f>
        <v>0</v>
      </c>
      <c r="P101" s="505">
        <f>+O101-M101</f>
        <v>0</v>
      </c>
      <c r="Q101" s="244"/>
      <c r="R101" s="244"/>
      <c r="S101" s="244"/>
      <c r="T101" s="244"/>
      <c r="U101" s="244"/>
    </row>
    <row r="102" spans="1:21" ht="12.5">
      <c r="C102" s="496">
        <f>IF(D94="","-",+C101+1)</f>
        <v>2018</v>
      </c>
      <c r="D102" s="497">
        <v>64831620.899999999</v>
      </c>
      <c r="E102" s="499">
        <v>1895280.2222222222</v>
      </c>
      <c r="F102" s="506">
        <v>62936340.677777775</v>
      </c>
      <c r="G102" s="506">
        <v>63883980.788888887</v>
      </c>
      <c r="H102" s="499">
        <v>8639029.6924960874</v>
      </c>
      <c r="I102" s="500">
        <v>8639029.6924960874</v>
      </c>
      <c r="J102" s="505">
        <f t="shared" si="7"/>
        <v>0</v>
      </c>
      <c r="K102" s="505"/>
      <c r="L102" s="505">
        <f>H102</f>
        <v>8639029.6924960874</v>
      </c>
      <c r="M102" s="505">
        <f>IF(L102&lt;&gt;0,+H102-L102,0)</f>
        <v>0</v>
      </c>
      <c r="N102" s="505">
        <f>I102</f>
        <v>8639029.6924960874</v>
      </c>
      <c r="O102" s="505">
        <f>IF(N102&lt;&gt;0,+I102-N102,0)</f>
        <v>0</v>
      </c>
      <c r="P102" s="505">
        <f>+O102-M102</f>
        <v>0</v>
      </c>
      <c r="Q102" s="244"/>
      <c r="R102" s="244"/>
      <c r="S102" s="244"/>
      <c r="T102" s="244"/>
      <c r="U102" s="244"/>
    </row>
    <row r="103" spans="1:21" ht="12.5">
      <c r="C103" s="496">
        <f>IF(D94="","-",+C102+1)</f>
        <v>2019</v>
      </c>
      <c r="D103" s="497">
        <v>64646436.577777781</v>
      </c>
      <c r="E103" s="499">
        <v>1895763.0277777778</v>
      </c>
      <c r="F103" s="506">
        <v>62750673.550000004</v>
      </c>
      <c r="G103" s="506">
        <v>63698555.063888893</v>
      </c>
      <c r="H103" s="499">
        <v>8619938.5043946709</v>
      </c>
      <c r="I103" s="500">
        <v>8619938.5043946709</v>
      </c>
      <c r="J103" s="505">
        <f t="shared" si="7"/>
        <v>0</v>
      </c>
      <c r="K103" s="505"/>
      <c r="L103" s="505">
        <f>H103</f>
        <v>8619938.5043946709</v>
      </c>
      <c r="M103" s="505">
        <f>IF(L103&lt;&gt;0,+H103-L103,0)</f>
        <v>0</v>
      </c>
      <c r="N103" s="505">
        <f>I103</f>
        <v>8619938.5043946709</v>
      </c>
      <c r="O103" s="505">
        <f>IF(N103&lt;&gt;0,+I103-N103,0)</f>
        <v>0</v>
      </c>
      <c r="P103" s="505">
        <f>+O103-M103</f>
        <v>0</v>
      </c>
      <c r="Q103" s="244"/>
      <c r="R103" s="244"/>
      <c r="S103" s="244"/>
      <c r="T103" s="244"/>
      <c r="U103" s="244"/>
    </row>
    <row r="104" spans="1:21" ht="12.5">
      <c r="C104" s="496">
        <f>IF(D94="","-",+C103+1)</f>
        <v>2020</v>
      </c>
      <c r="D104" s="350">
        <f>IF(F103+SUM(E$100:E103)=D$93,F103,D$93-SUM(E$100:E103))</f>
        <v>61057958.649999999</v>
      </c>
      <c r="E104" s="510">
        <f>IF(+J97&lt;F103,J97,D104)</f>
        <v>2437409.6071428573</v>
      </c>
      <c r="F104" s="511">
        <f t="shared" ref="F104:F131" si="11">+D104-E104</f>
        <v>58620549.04285714</v>
      </c>
      <c r="G104" s="511">
        <f t="shared" ref="G104:G131" si="12">+(F104+D104)/2</f>
        <v>59839253.846428573</v>
      </c>
      <c r="H104" s="646">
        <f>(D104+F104)/2*J$95+E104</f>
        <v>8805113.9847133383</v>
      </c>
      <c r="I104" s="628">
        <f t="shared" ref="I104:I155" si="13">+J$96*G104+E104</f>
        <v>8805113.9847133383</v>
      </c>
      <c r="J104" s="505">
        <f t="shared" si="7"/>
        <v>0</v>
      </c>
      <c r="K104" s="505"/>
      <c r="L104" s="513"/>
      <c r="M104" s="505">
        <f t="shared" si="8"/>
        <v>0</v>
      </c>
      <c r="N104" s="513"/>
      <c r="O104" s="505">
        <f t="shared" si="9"/>
        <v>0</v>
      </c>
      <c r="P104" s="505">
        <f t="shared" si="10"/>
        <v>0</v>
      </c>
      <c r="Q104" s="244"/>
      <c r="R104" s="244"/>
      <c r="S104" s="244"/>
      <c r="T104" s="244"/>
      <c r="U104" s="244"/>
    </row>
    <row r="105" spans="1:21" ht="12.5">
      <c r="C105" s="496">
        <f>IF(D94="","-",+C104+1)</f>
        <v>2021</v>
      </c>
      <c r="D105" s="350">
        <f>IF(F104+SUM(E$100:E104)=D$93,F104,D$93-SUM(E$100:E104))</f>
        <v>58620549.04285714</v>
      </c>
      <c r="E105" s="510">
        <f>IF(+J97&lt;F104,J97,D105)</f>
        <v>2437409.6071428573</v>
      </c>
      <c r="F105" s="511">
        <f t="shared" si="11"/>
        <v>56183139.435714282</v>
      </c>
      <c r="G105" s="511">
        <f t="shared" si="12"/>
        <v>57401844.239285707</v>
      </c>
      <c r="H105" s="646">
        <f t="shared" ref="H105:H155" si="14">(D105+F105)/2*J$95+E105</f>
        <v>8545740.699993439</v>
      </c>
      <c r="I105" s="628">
        <f t="shared" si="13"/>
        <v>8545740.699993439</v>
      </c>
      <c r="J105" s="505">
        <f t="shared" si="7"/>
        <v>0</v>
      </c>
      <c r="K105" s="505"/>
      <c r="L105" s="513"/>
      <c r="M105" s="505">
        <f t="shared" si="8"/>
        <v>0</v>
      </c>
      <c r="N105" s="513"/>
      <c r="O105" s="505">
        <f t="shared" si="9"/>
        <v>0</v>
      </c>
      <c r="P105" s="505">
        <f t="shared" si="10"/>
        <v>0</v>
      </c>
      <c r="Q105" s="244"/>
      <c r="R105" s="244"/>
      <c r="S105" s="244"/>
      <c r="T105" s="244"/>
      <c r="U105" s="244"/>
    </row>
    <row r="106" spans="1:21" ht="12.5">
      <c r="C106" s="496">
        <f>IF(D94="","-",+C105+1)</f>
        <v>2022</v>
      </c>
      <c r="D106" s="350">
        <f>IF(F105+SUM(E$100:E105)=D$93,F105,D$93-SUM(E$100:E105))</f>
        <v>56183139.435714282</v>
      </c>
      <c r="E106" s="510">
        <f>IF(+J97&lt;F105,J97,D106)</f>
        <v>2437409.6071428573</v>
      </c>
      <c r="F106" s="511">
        <f t="shared" si="11"/>
        <v>53745729.828571424</v>
      </c>
      <c r="G106" s="511">
        <f t="shared" si="12"/>
        <v>54964434.632142857</v>
      </c>
      <c r="H106" s="646">
        <f t="shared" si="14"/>
        <v>8286367.4152735425</v>
      </c>
      <c r="I106" s="628">
        <f t="shared" si="13"/>
        <v>8286367.4152735425</v>
      </c>
      <c r="J106" s="505">
        <f t="shared" si="7"/>
        <v>0</v>
      </c>
      <c r="K106" s="505"/>
      <c r="L106" s="513"/>
      <c r="M106" s="505">
        <f t="shared" si="8"/>
        <v>0</v>
      </c>
      <c r="N106" s="513"/>
      <c r="O106" s="505">
        <f t="shared" si="9"/>
        <v>0</v>
      </c>
      <c r="P106" s="505">
        <f t="shared" si="10"/>
        <v>0</v>
      </c>
      <c r="Q106" s="244"/>
      <c r="R106" s="244"/>
      <c r="S106" s="244"/>
      <c r="T106" s="244"/>
      <c r="U106" s="244"/>
    </row>
    <row r="107" spans="1:21" ht="12.5">
      <c r="C107" s="496">
        <f>IF(D94="","-",+C106+1)</f>
        <v>2023</v>
      </c>
      <c r="D107" s="350">
        <f>IF(F106+SUM(E$100:E106)=D$93,F106,D$93-SUM(E$100:E106))</f>
        <v>53745729.828571424</v>
      </c>
      <c r="E107" s="510">
        <f>IF(+J97&lt;F106,J97,D107)</f>
        <v>2437409.6071428573</v>
      </c>
      <c r="F107" s="511">
        <f t="shared" si="11"/>
        <v>51308320.221428566</v>
      </c>
      <c r="G107" s="511">
        <f t="shared" si="12"/>
        <v>52527025.024999991</v>
      </c>
      <c r="H107" s="646">
        <f t="shared" si="14"/>
        <v>8026994.1305536451</v>
      </c>
      <c r="I107" s="628">
        <f t="shared" si="13"/>
        <v>8026994.1305536451</v>
      </c>
      <c r="J107" s="505">
        <f t="shared" si="7"/>
        <v>0</v>
      </c>
      <c r="K107" s="505"/>
      <c r="L107" s="513"/>
      <c r="M107" s="505">
        <f t="shared" si="8"/>
        <v>0</v>
      </c>
      <c r="N107" s="513"/>
      <c r="O107" s="505">
        <f t="shared" si="9"/>
        <v>0</v>
      </c>
      <c r="P107" s="505">
        <f t="shared" si="10"/>
        <v>0</v>
      </c>
      <c r="Q107" s="244"/>
      <c r="R107" s="244"/>
      <c r="S107" s="244"/>
      <c r="T107" s="244"/>
      <c r="U107" s="244"/>
    </row>
    <row r="108" spans="1:21" ht="12.5">
      <c r="C108" s="496">
        <f>IF(D94="","-",+C107+1)</f>
        <v>2024</v>
      </c>
      <c r="D108" s="350">
        <f>IF(F107+SUM(E$100:E107)=D$93,F107,D$93-SUM(E$100:E107))</f>
        <v>51308320.221428566</v>
      </c>
      <c r="E108" s="510">
        <f>IF(+J97&lt;F107,J97,D108)</f>
        <v>2437409.6071428573</v>
      </c>
      <c r="F108" s="511">
        <f t="shared" si="11"/>
        <v>48870910.614285707</v>
      </c>
      <c r="G108" s="511">
        <f t="shared" si="12"/>
        <v>50089615.41785714</v>
      </c>
      <c r="H108" s="646">
        <f t="shared" si="14"/>
        <v>7767620.8458337486</v>
      </c>
      <c r="I108" s="628">
        <f t="shared" si="13"/>
        <v>7767620.8458337486</v>
      </c>
      <c r="J108" s="505">
        <f t="shared" si="7"/>
        <v>0</v>
      </c>
      <c r="K108" s="505"/>
      <c r="L108" s="513"/>
      <c r="M108" s="505">
        <f t="shared" si="8"/>
        <v>0</v>
      </c>
      <c r="N108" s="513"/>
      <c r="O108" s="505">
        <f t="shared" si="9"/>
        <v>0</v>
      </c>
      <c r="P108" s="505">
        <f t="shared" si="10"/>
        <v>0</v>
      </c>
      <c r="Q108" s="244"/>
      <c r="R108" s="244"/>
      <c r="S108" s="244"/>
      <c r="T108" s="244"/>
      <c r="U108" s="244"/>
    </row>
    <row r="109" spans="1:21" ht="12.5">
      <c r="C109" s="496">
        <f>IF(D94="","-",+C108+1)</f>
        <v>2025</v>
      </c>
      <c r="D109" s="350">
        <f>IF(F108+SUM(E$100:E108)=D$93,F108,D$93-SUM(E$100:E108))</f>
        <v>48870910.614285707</v>
      </c>
      <c r="E109" s="510">
        <f>IF(+J97&lt;F108,J97,D109)</f>
        <v>2437409.6071428573</v>
      </c>
      <c r="F109" s="511">
        <f t="shared" si="11"/>
        <v>46433501.007142849</v>
      </c>
      <c r="G109" s="511">
        <f t="shared" si="12"/>
        <v>47652205.810714275</v>
      </c>
      <c r="H109" s="646">
        <f t="shared" si="14"/>
        <v>7508247.5611138502</v>
      </c>
      <c r="I109" s="628">
        <f t="shared" si="13"/>
        <v>7508247.5611138502</v>
      </c>
      <c r="J109" s="505">
        <f t="shared" si="7"/>
        <v>0</v>
      </c>
      <c r="K109" s="505"/>
      <c r="L109" s="513"/>
      <c r="M109" s="505">
        <f t="shared" si="8"/>
        <v>0</v>
      </c>
      <c r="N109" s="513"/>
      <c r="O109" s="505">
        <f t="shared" si="9"/>
        <v>0</v>
      </c>
      <c r="P109" s="505">
        <f t="shared" si="10"/>
        <v>0</v>
      </c>
      <c r="Q109" s="244"/>
      <c r="R109" s="244"/>
      <c r="S109" s="244"/>
      <c r="T109" s="244"/>
      <c r="U109" s="244"/>
    </row>
    <row r="110" spans="1:21" ht="12.5">
      <c r="C110" s="496">
        <f>IF(D94="","-",+C109+1)</f>
        <v>2026</v>
      </c>
      <c r="D110" s="350">
        <f>IF(F109+SUM(E$100:E109)=D$93,F109,D$93-SUM(E$100:E109))</f>
        <v>46433501.007142849</v>
      </c>
      <c r="E110" s="510">
        <f>IF(+J97&lt;F109,J97,D110)</f>
        <v>2437409.6071428573</v>
      </c>
      <c r="F110" s="511">
        <f t="shared" si="11"/>
        <v>43996091.399999991</v>
      </c>
      <c r="G110" s="511">
        <f t="shared" si="12"/>
        <v>45214796.203571424</v>
      </c>
      <c r="H110" s="646">
        <f t="shared" si="14"/>
        <v>7248874.2763939537</v>
      </c>
      <c r="I110" s="628">
        <f t="shared" si="13"/>
        <v>7248874.2763939537</v>
      </c>
      <c r="J110" s="505">
        <f t="shared" si="7"/>
        <v>0</v>
      </c>
      <c r="K110" s="505"/>
      <c r="L110" s="513"/>
      <c r="M110" s="505">
        <f t="shared" si="8"/>
        <v>0</v>
      </c>
      <c r="N110" s="513"/>
      <c r="O110" s="505">
        <f t="shared" si="9"/>
        <v>0</v>
      </c>
      <c r="P110" s="505">
        <f t="shared" si="10"/>
        <v>0</v>
      </c>
      <c r="Q110" s="244"/>
      <c r="R110" s="244"/>
      <c r="S110" s="244"/>
      <c r="T110" s="244"/>
      <c r="U110" s="244"/>
    </row>
    <row r="111" spans="1:21" ht="12.5">
      <c r="C111" s="496">
        <f>IF(D94="","-",+C110+1)</f>
        <v>2027</v>
      </c>
      <c r="D111" s="350">
        <f>IF(F110+SUM(E$100:E110)=D$93,F110,D$93-SUM(E$100:E110))</f>
        <v>43996091.399999991</v>
      </c>
      <c r="E111" s="510">
        <f>IF(+J97&lt;F110,J97,D111)</f>
        <v>2437409.6071428573</v>
      </c>
      <c r="F111" s="511">
        <f t="shared" si="11"/>
        <v>41558681.792857133</v>
      </c>
      <c r="G111" s="511">
        <f t="shared" si="12"/>
        <v>42777386.596428558</v>
      </c>
      <c r="H111" s="646">
        <f t="shared" si="14"/>
        <v>6989500.9916740563</v>
      </c>
      <c r="I111" s="628">
        <f t="shared" si="13"/>
        <v>6989500.9916740563</v>
      </c>
      <c r="J111" s="505">
        <f t="shared" si="7"/>
        <v>0</v>
      </c>
      <c r="K111" s="505"/>
      <c r="L111" s="513"/>
      <c r="M111" s="505">
        <f t="shared" si="8"/>
        <v>0</v>
      </c>
      <c r="N111" s="513"/>
      <c r="O111" s="505">
        <f t="shared" si="9"/>
        <v>0</v>
      </c>
      <c r="P111" s="505">
        <f t="shared" si="10"/>
        <v>0</v>
      </c>
      <c r="Q111" s="244"/>
      <c r="R111" s="244"/>
      <c r="S111" s="244"/>
      <c r="T111" s="244"/>
      <c r="U111" s="244"/>
    </row>
    <row r="112" spans="1:21" ht="12.5">
      <c r="C112" s="496">
        <f>IF(D94="","-",+C111+1)</f>
        <v>2028</v>
      </c>
      <c r="D112" s="350">
        <f>IF(F111+SUM(E$100:E111)=D$93,F111,D$93-SUM(E$100:E111))</f>
        <v>41558681.792857133</v>
      </c>
      <c r="E112" s="510">
        <f>IF(+J97&lt;F111,J97,D112)</f>
        <v>2437409.6071428573</v>
      </c>
      <c r="F112" s="511">
        <f t="shared" si="11"/>
        <v>39121272.185714275</v>
      </c>
      <c r="G112" s="511">
        <f t="shared" si="12"/>
        <v>40339976.989285707</v>
      </c>
      <c r="H112" s="646">
        <f t="shared" si="14"/>
        <v>6730127.7069541598</v>
      </c>
      <c r="I112" s="628">
        <f t="shared" si="13"/>
        <v>6730127.7069541598</v>
      </c>
      <c r="J112" s="505">
        <f t="shared" si="7"/>
        <v>0</v>
      </c>
      <c r="K112" s="505"/>
      <c r="L112" s="513"/>
      <c r="M112" s="505">
        <f t="shared" si="8"/>
        <v>0</v>
      </c>
      <c r="N112" s="513"/>
      <c r="O112" s="505">
        <f t="shared" si="9"/>
        <v>0</v>
      </c>
      <c r="P112" s="505">
        <f t="shared" si="10"/>
        <v>0</v>
      </c>
      <c r="Q112" s="244"/>
      <c r="R112" s="244"/>
      <c r="S112" s="244"/>
      <c r="T112" s="244"/>
      <c r="U112" s="244"/>
    </row>
    <row r="113" spans="3:21" ht="12.5">
      <c r="C113" s="496">
        <f>IF(D94="","-",+C112+1)</f>
        <v>2029</v>
      </c>
      <c r="D113" s="350">
        <f>IF(F112+SUM(E$100:E112)=D$93,F112,D$93-SUM(E$100:E112))</f>
        <v>39121272.185714275</v>
      </c>
      <c r="E113" s="510">
        <f>IF(+J97&lt;F112,J97,D113)</f>
        <v>2437409.6071428573</v>
      </c>
      <c r="F113" s="511">
        <f t="shared" si="11"/>
        <v>36683862.578571416</v>
      </c>
      <c r="G113" s="511">
        <f t="shared" si="12"/>
        <v>37902567.382142842</v>
      </c>
      <c r="H113" s="646">
        <f t="shared" si="14"/>
        <v>6470754.4222342614</v>
      </c>
      <c r="I113" s="628">
        <f t="shared" si="13"/>
        <v>6470754.4222342614</v>
      </c>
      <c r="J113" s="505">
        <f t="shared" si="7"/>
        <v>0</v>
      </c>
      <c r="K113" s="505"/>
      <c r="L113" s="513"/>
      <c r="M113" s="505">
        <f t="shared" si="8"/>
        <v>0</v>
      </c>
      <c r="N113" s="513"/>
      <c r="O113" s="505">
        <f t="shared" si="9"/>
        <v>0</v>
      </c>
      <c r="P113" s="505">
        <f t="shared" si="10"/>
        <v>0</v>
      </c>
      <c r="Q113" s="244"/>
      <c r="R113" s="244"/>
      <c r="S113" s="244"/>
      <c r="T113" s="244"/>
      <c r="U113" s="244"/>
    </row>
    <row r="114" spans="3:21" ht="12.5">
      <c r="C114" s="496">
        <f>IF(D94="","-",+C113+1)</f>
        <v>2030</v>
      </c>
      <c r="D114" s="350">
        <f>IF(F113+SUM(E$100:E113)=D$93,F113,D$93-SUM(E$100:E113))</f>
        <v>36683862.578571416</v>
      </c>
      <c r="E114" s="510">
        <f>IF(+J97&lt;F113,J97,D114)</f>
        <v>2437409.6071428573</v>
      </c>
      <c r="F114" s="511">
        <f t="shared" si="11"/>
        <v>34246452.971428558</v>
      </c>
      <c r="G114" s="511">
        <f t="shared" si="12"/>
        <v>35465157.774999991</v>
      </c>
      <c r="H114" s="646">
        <f t="shared" si="14"/>
        <v>6211381.1375143658</v>
      </c>
      <c r="I114" s="628">
        <f t="shared" si="13"/>
        <v>6211381.1375143658</v>
      </c>
      <c r="J114" s="505">
        <f t="shared" si="7"/>
        <v>0</v>
      </c>
      <c r="K114" s="505"/>
      <c r="L114" s="513"/>
      <c r="M114" s="505">
        <f t="shared" si="8"/>
        <v>0</v>
      </c>
      <c r="N114" s="513"/>
      <c r="O114" s="505">
        <f t="shared" si="9"/>
        <v>0</v>
      </c>
      <c r="P114" s="505">
        <f t="shared" si="10"/>
        <v>0</v>
      </c>
      <c r="Q114" s="244"/>
      <c r="R114" s="244"/>
      <c r="S114" s="244"/>
      <c r="T114" s="244"/>
      <c r="U114" s="244"/>
    </row>
    <row r="115" spans="3:21" ht="12.5">
      <c r="C115" s="496">
        <f>IF(D94="","-",+C114+1)</f>
        <v>2031</v>
      </c>
      <c r="D115" s="350">
        <f>IF(F114+SUM(E$100:E114)=D$93,F114,D$93-SUM(E$100:E114))</f>
        <v>34246452.971428558</v>
      </c>
      <c r="E115" s="510">
        <f>IF(+J97&lt;F114,J97,D115)</f>
        <v>2437409.6071428573</v>
      </c>
      <c r="F115" s="511">
        <f t="shared" si="11"/>
        <v>31809043.3642857</v>
      </c>
      <c r="G115" s="511">
        <f t="shared" si="12"/>
        <v>33027748.167857129</v>
      </c>
      <c r="H115" s="646">
        <f t="shared" si="14"/>
        <v>5952007.8527944675</v>
      </c>
      <c r="I115" s="628">
        <f t="shared" si="13"/>
        <v>5952007.8527944675</v>
      </c>
      <c r="J115" s="505">
        <f t="shared" si="7"/>
        <v>0</v>
      </c>
      <c r="K115" s="505"/>
      <c r="L115" s="513"/>
      <c r="M115" s="505">
        <f t="shared" si="8"/>
        <v>0</v>
      </c>
      <c r="N115" s="513"/>
      <c r="O115" s="505">
        <f t="shared" si="9"/>
        <v>0</v>
      </c>
      <c r="P115" s="505">
        <f t="shared" si="10"/>
        <v>0</v>
      </c>
      <c r="Q115" s="244"/>
      <c r="R115" s="244"/>
      <c r="S115" s="244"/>
      <c r="T115" s="244"/>
      <c r="U115" s="244"/>
    </row>
    <row r="116" spans="3:21" ht="12.5">
      <c r="C116" s="496">
        <f>IF(D94="","-",+C115+1)</f>
        <v>2032</v>
      </c>
      <c r="D116" s="350">
        <f>IF(F115+SUM(E$100:E115)=D$93,F115,D$93-SUM(E$100:E115))</f>
        <v>31809043.3642857</v>
      </c>
      <c r="E116" s="510">
        <f>IF(+J97&lt;F115,J97,D116)</f>
        <v>2437409.6071428573</v>
      </c>
      <c r="F116" s="511">
        <f t="shared" si="11"/>
        <v>29371633.757142842</v>
      </c>
      <c r="G116" s="511">
        <f t="shared" si="12"/>
        <v>30590338.560714271</v>
      </c>
      <c r="H116" s="646">
        <f t="shared" si="14"/>
        <v>5692634.568074571</v>
      </c>
      <c r="I116" s="628">
        <f t="shared" si="13"/>
        <v>5692634.568074571</v>
      </c>
      <c r="J116" s="505">
        <f t="shared" si="7"/>
        <v>0</v>
      </c>
      <c r="K116" s="505"/>
      <c r="L116" s="513"/>
      <c r="M116" s="505">
        <f t="shared" si="8"/>
        <v>0</v>
      </c>
      <c r="N116" s="513"/>
      <c r="O116" s="505">
        <f t="shared" si="9"/>
        <v>0</v>
      </c>
      <c r="P116" s="505">
        <f t="shared" si="10"/>
        <v>0</v>
      </c>
      <c r="Q116" s="244"/>
      <c r="R116" s="244"/>
      <c r="S116" s="244"/>
      <c r="T116" s="244"/>
      <c r="U116" s="244"/>
    </row>
    <row r="117" spans="3:21" ht="12.5">
      <c r="C117" s="496">
        <f>IF(D94="","-",+C116+1)</f>
        <v>2033</v>
      </c>
      <c r="D117" s="350">
        <f>IF(F116+SUM(E$100:E116)=D$93,F116,D$93-SUM(E$100:E116))</f>
        <v>29371633.757142842</v>
      </c>
      <c r="E117" s="510">
        <f>IF(+J97&lt;F116,J97,D117)</f>
        <v>2437409.6071428573</v>
      </c>
      <c r="F117" s="511">
        <f t="shared" si="11"/>
        <v>26934224.149999984</v>
      </c>
      <c r="G117" s="511">
        <f t="shared" si="12"/>
        <v>28152928.953571413</v>
      </c>
      <c r="H117" s="646">
        <f t="shared" si="14"/>
        <v>5433261.2833546735</v>
      </c>
      <c r="I117" s="628">
        <f t="shared" si="13"/>
        <v>5433261.2833546735</v>
      </c>
      <c r="J117" s="505">
        <f t="shared" si="7"/>
        <v>0</v>
      </c>
      <c r="K117" s="505"/>
      <c r="L117" s="513"/>
      <c r="M117" s="505">
        <f t="shared" si="8"/>
        <v>0</v>
      </c>
      <c r="N117" s="513"/>
      <c r="O117" s="505">
        <f t="shared" si="9"/>
        <v>0</v>
      </c>
      <c r="P117" s="505">
        <f t="shared" si="10"/>
        <v>0</v>
      </c>
      <c r="Q117" s="244"/>
      <c r="R117" s="244"/>
      <c r="S117" s="244"/>
      <c r="T117" s="244"/>
      <c r="U117" s="244"/>
    </row>
    <row r="118" spans="3:21" ht="12.5">
      <c r="C118" s="496">
        <f>IF(D94="","-",+C117+1)</f>
        <v>2034</v>
      </c>
      <c r="D118" s="350">
        <f>IF(F117+SUM(E$100:E117)=D$93,F117,D$93-SUM(E$100:E117))</f>
        <v>26934224.149999984</v>
      </c>
      <c r="E118" s="510">
        <f>IF(+J97&lt;F117,J97,D118)</f>
        <v>2437409.6071428573</v>
      </c>
      <c r="F118" s="511">
        <f t="shared" si="11"/>
        <v>24496814.542857125</v>
      </c>
      <c r="G118" s="511">
        <f t="shared" si="12"/>
        <v>25715519.346428555</v>
      </c>
      <c r="H118" s="646">
        <f t="shared" si="14"/>
        <v>5173887.9986347761</v>
      </c>
      <c r="I118" s="628">
        <f t="shared" si="13"/>
        <v>5173887.9986347761</v>
      </c>
      <c r="J118" s="505">
        <f t="shared" si="7"/>
        <v>0</v>
      </c>
      <c r="K118" s="505"/>
      <c r="L118" s="513"/>
      <c r="M118" s="505">
        <f t="shared" si="8"/>
        <v>0</v>
      </c>
      <c r="N118" s="513"/>
      <c r="O118" s="505">
        <f t="shared" si="9"/>
        <v>0</v>
      </c>
      <c r="P118" s="505">
        <f t="shared" si="10"/>
        <v>0</v>
      </c>
      <c r="Q118" s="244"/>
      <c r="R118" s="244"/>
      <c r="S118" s="244"/>
      <c r="T118" s="244"/>
      <c r="U118" s="244"/>
    </row>
    <row r="119" spans="3:21" ht="12.5">
      <c r="C119" s="496">
        <f>IF(D94="","-",+C118+1)</f>
        <v>2035</v>
      </c>
      <c r="D119" s="350">
        <f>IF(F118+SUM(E$100:E118)=D$93,F118,D$93-SUM(E$100:E118))</f>
        <v>24496814.542857125</v>
      </c>
      <c r="E119" s="510">
        <f>IF(+J97&lt;F118,J97,D119)</f>
        <v>2437409.6071428573</v>
      </c>
      <c r="F119" s="511">
        <f t="shared" si="11"/>
        <v>22059404.935714267</v>
      </c>
      <c r="G119" s="511">
        <f t="shared" si="12"/>
        <v>23278109.739285696</v>
      </c>
      <c r="H119" s="646">
        <f t="shared" si="14"/>
        <v>4914514.7139148787</v>
      </c>
      <c r="I119" s="628">
        <f t="shared" si="13"/>
        <v>4914514.7139148787</v>
      </c>
      <c r="J119" s="505">
        <f t="shared" si="7"/>
        <v>0</v>
      </c>
      <c r="K119" s="505"/>
      <c r="L119" s="513"/>
      <c r="M119" s="505">
        <f t="shared" si="8"/>
        <v>0</v>
      </c>
      <c r="N119" s="513"/>
      <c r="O119" s="505">
        <f t="shared" si="9"/>
        <v>0</v>
      </c>
      <c r="P119" s="505">
        <f t="shared" si="10"/>
        <v>0</v>
      </c>
      <c r="Q119" s="244"/>
      <c r="R119" s="244"/>
      <c r="S119" s="244"/>
      <c r="T119" s="244"/>
      <c r="U119" s="244"/>
    </row>
    <row r="120" spans="3:21" ht="12.5">
      <c r="C120" s="496">
        <f>IF(D94="","-",+C119+1)</f>
        <v>2036</v>
      </c>
      <c r="D120" s="350">
        <f>IF(F119+SUM(E$100:E119)=D$93,F119,D$93-SUM(E$100:E119))</f>
        <v>22059404.935714267</v>
      </c>
      <c r="E120" s="510">
        <f>IF(+J97&lt;F119,J97,D120)</f>
        <v>2437409.6071428573</v>
      </c>
      <c r="F120" s="511">
        <f t="shared" si="11"/>
        <v>19621995.328571409</v>
      </c>
      <c r="G120" s="511">
        <f t="shared" si="12"/>
        <v>20840700.132142838</v>
      </c>
      <c r="H120" s="646">
        <f t="shared" si="14"/>
        <v>4655141.4291949812</v>
      </c>
      <c r="I120" s="628">
        <f t="shared" si="13"/>
        <v>4655141.4291949812</v>
      </c>
      <c r="J120" s="505">
        <f t="shared" si="7"/>
        <v>0</v>
      </c>
      <c r="K120" s="505"/>
      <c r="L120" s="513"/>
      <c r="M120" s="505">
        <f t="shared" si="8"/>
        <v>0</v>
      </c>
      <c r="N120" s="513"/>
      <c r="O120" s="505">
        <f t="shared" si="9"/>
        <v>0</v>
      </c>
      <c r="P120" s="505">
        <f t="shared" si="10"/>
        <v>0</v>
      </c>
      <c r="Q120" s="244"/>
      <c r="R120" s="244"/>
      <c r="S120" s="244"/>
      <c r="T120" s="244"/>
      <c r="U120" s="244"/>
    </row>
    <row r="121" spans="3:21" ht="12.5">
      <c r="C121" s="496">
        <f>IF(D94="","-",+C120+1)</f>
        <v>2037</v>
      </c>
      <c r="D121" s="350">
        <f>IF(F120+SUM(E$100:E120)=D$93,F120,D$93-SUM(E$100:E120))</f>
        <v>19621995.328571409</v>
      </c>
      <c r="E121" s="510">
        <f>IF(+J97&lt;F120,J97,D121)</f>
        <v>2437409.6071428573</v>
      </c>
      <c r="F121" s="511">
        <f t="shared" si="11"/>
        <v>17184585.721428551</v>
      </c>
      <c r="G121" s="511">
        <f t="shared" si="12"/>
        <v>18403290.52499998</v>
      </c>
      <c r="H121" s="646">
        <f t="shared" si="14"/>
        <v>4395768.1444750847</v>
      </c>
      <c r="I121" s="628">
        <f t="shared" si="13"/>
        <v>4395768.1444750847</v>
      </c>
      <c r="J121" s="505">
        <f t="shared" si="7"/>
        <v>0</v>
      </c>
      <c r="K121" s="505"/>
      <c r="L121" s="513"/>
      <c r="M121" s="505">
        <f t="shared" si="8"/>
        <v>0</v>
      </c>
      <c r="N121" s="513"/>
      <c r="O121" s="505">
        <f t="shared" si="9"/>
        <v>0</v>
      </c>
      <c r="P121" s="505">
        <f t="shared" si="10"/>
        <v>0</v>
      </c>
      <c r="Q121" s="244"/>
      <c r="R121" s="244"/>
      <c r="S121" s="244"/>
      <c r="T121" s="244"/>
      <c r="U121" s="244"/>
    </row>
    <row r="122" spans="3:21" ht="12.5">
      <c r="C122" s="496">
        <f>IF(D94="","-",+C121+1)</f>
        <v>2038</v>
      </c>
      <c r="D122" s="350">
        <f>IF(F121+SUM(E$100:E121)=D$93,F121,D$93-SUM(E$100:E121))</f>
        <v>17184585.721428551</v>
      </c>
      <c r="E122" s="510">
        <f>IF(+J97&lt;F121,J97,D122)</f>
        <v>2437409.6071428573</v>
      </c>
      <c r="F122" s="511">
        <f t="shared" si="11"/>
        <v>14747176.114285693</v>
      </c>
      <c r="G122" s="511">
        <f t="shared" si="12"/>
        <v>15965880.917857122</v>
      </c>
      <c r="H122" s="646">
        <f t="shared" si="14"/>
        <v>4136394.8597551873</v>
      </c>
      <c r="I122" s="628">
        <f t="shared" si="13"/>
        <v>4136394.8597551873</v>
      </c>
      <c r="J122" s="505">
        <f t="shared" si="7"/>
        <v>0</v>
      </c>
      <c r="K122" s="505"/>
      <c r="L122" s="513"/>
      <c r="M122" s="505">
        <f t="shared" si="8"/>
        <v>0</v>
      </c>
      <c r="N122" s="513"/>
      <c r="O122" s="505">
        <f t="shared" si="9"/>
        <v>0</v>
      </c>
      <c r="P122" s="505">
        <f t="shared" si="10"/>
        <v>0</v>
      </c>
      <c r="Q122" s="244"/>
      <c r="R122" s="244"/>
      <c r="S122" s="244"/>
      <c r="T122" s="244"/>
      <c r="U122" s="244"/>
    </row>
    <row r="123" spans="3:21" ht="12.5">
      <c r="C123" s="496">
        <f>IF(D94="","-",+C122+1)</f>
        <v>2039</v>
      </c>
      <c r="D123" s="350">
        <f>IF(F122+SUM(E$100:E122)=D$93,F122,D$93-SUM(E$100:E122))</f>
        <v>14747176.114285693</v>
      </c>
      <c r="E123" s="510">
        <f>IF(+J97&lt;F122,J97,D123)</f>
        <v>2437409.6071428573</v>
      </c>
      <c r="F123" s="511">
        <f t="shared" si="11"/>
        <v>12309766.507142834</v>
      </c>
      <c r="G123" s="511">
        <f t="shared" si="12"/>
        <v>13528471.310714263</v>
      </c>
      <c r="H123" s="646">
        <f t="shared" si="14"/>
        <v>3877021.5750352899</v>
      </c>
      <c r="I123" s="628">
        <f t="shared" si="13"/>
        <v>3877021.5750352899</v>
      </c>
      <c r="J123" s="505">
        <f t="shared" si="7"/>
        <v>0</v>
      </c>
      <c r="K123" s="505"/>
      <c r="L123" s="513"/>
      <c r="M123" s="505">
        <f t="shared" si="8"/>
        <v>0</v>
      </c>
      <c r="N123" s="513"/>
      <c r="O123" s="505">
        <f t="shared" si="9"/>
        <v>0</v>
      </c>
      <c r="P123" s="505">
        <f t="shared" si="10"/>
        <v>0</v>
      </c>
      <c r="Q123" s="244"/>
      <c r="R123" s="244"/>
      <c r="S123" s="244"/>
      <c r="T123" s="244"/>
      <c r="U123" s="244"/>
    </row>
    <row r="124" spans="3:21" ht="12.5">
      <c r="C124" s="496">
        <f>IF(D94="","-",+C123+1)</f>
        <v>2040</v>
      </c>
      <c r="D124" s="350">
        <f>IF(F123+SUM(E$100:E123)=D$93,F123,D$93-SUM(E$100:E123))</f>
        <v>12309766.507142834</v>
      </c>
      <c r="E124" s="510">
        <f>IF(+J97&lt;F123,J97,D124)</f>
        <v>2437409.6071428573</v>
      </c>
      <c r="F124" s="511">
        <f t="shared" si="11"/>
        <v>9872356.8999999762</v>
      </c>
      <c r="G124" s="511">
        <f t="shared" si="12"/>
        <v>11091061.703571405</v>
      </c>
      <c r="H124" s="646">
        <f t="shared" si="14"/>
        <v>3617648.2903153929</v>
      </c>
      <c r="I124" s="628">
        <f t="shared" si="13"/>
        <v>3617648.2903153929</v>
      </c>
      <c r="J124" s="505">
        <f t="shared" si="7"/>
        <v>0</v>
      </c>
      <c r="K124" s="505"/>
      <c r="L124" s="513"/>
      <c r="M124" s="505">
        <f t="shared" si="8"/>
        <v>0</v>
      </c>
      <c r="N124" s="513"/>
      <c r="O124" s="505">
        <f t="shared" si="9"/>
        <v>0</v>
      </c>
      <c r="P124" s="505">
        <f t="shared" si="10"/>
        <v>0</v>
      </c>
      <c r="Q124" s="244"/>
      <c r="R124" s="244"/>
      <c r="S124" s="244"/>
      <c r="T124" s="244"/>
      <c r="U124" s="244"/>
    </row>
    <row r="125" spans="3:21" ht="12.5">
      <c r="C125" s="496">
        <f>IF(D94="","-",+C124+1)</f>
        <v>2041</v>
      </c>
      <c r="D125" s="350">
        <f>IF(F124+SUM(E$100:E124)=D$93,F124,D$93-SUM(E$100:E124))</f>
        <v>9872356.8999999762</v>
      </c>
      <c r="E125" s="510">
        <f>IF(+J97&lt;F124,J97,D125)</f>
        <v>2437409.6071428573</v>
      </c>
      <c r="F125" s="511">
        <f t="shared" si="11"/>
        <v>7434947.2928571189</v>
      </c>
      <c r="G125" s="511">
        <f t="shared" si="12"/>
        <v>8653652.0964285471</v>
      </c>
      <c r="H125" s="646">
        <f t="shared" si="14"/>
        <v>3358275.0055954955</v>
      </c>
      <c r="I125" s="628">
        <f t="shared" si="13"/>
        <v>3358275.0055954955</v>
      </c>
      <c r="J125" s="505">
        <f t="shared" si="7"/>
        <v>0</v>
      </c>
      <c r="K125" s="505"/>
      <c r="L125" s="513"/>
      <c r="M125" s="505">
        <f t="shared" si="8"/>
        <v>0</v>
      </c>
      <c r="N125" s="513"/>
      <c r="O125" s="505">
        <f t="shared" si="9"/>
        <v>0</v>
      </c>
      <c r="P125" s="505">
        <f t="shared" si="10"/>
        <v>0</v>
      </c>
      <c r="Q125" s="244"/>
      <c r="R125" s="244"/>
      <c r="S125" s="244"/>
      <c r="T125" s="244"/>
      <c r="U125" s="244"/>
    </row>
    <row r="126" spans="3:21" ht="12.5">
      <c r="C126" s="496">
        <f>IF(D94="","-",+C125+1)</f>
        <v>2042</v>
      </c>
      <c r="D126" s="350">
        <f>IF(F125+SUM(E$100:E125)=D$93,F125,D$93-SUM(E$100:E125))</f>
        <v>7434947.2928571189</v>
      </c>
      <c r="E126" s="510">
        <f>IF(+J97&lt;F125,J97,D126)</f>
        <v>2437409.6071428573</v>
      </c>
      <c r="F126" s="511">
        <f t="shared" si="11"/>
        <v>4997537.6857142616</v>
      </c>
      <c r="G126" s="511">
        <f t="shared" si="12"/>
        <v>6216242.4892856907</v>
      </c>
      <c r="H126" s="646">
        <f t="shared" si="14"/>
        <v>3098901.7208755985</v>
      </c>
      <c r="I126" s="628">
        <f t="shared" si="13"/>
        <v>3098901.7208755985</v>
      </c>
      <c r="J126" s="505">
        <f t="shared" si="7"/>
        <v>0</v>
      </c>
      <c r="K126" s="505"/>
      <c r="L126" s="513"/>
      <c r="M126" s="505">
        <f t="shared" si="8"/>
        <v>0</v>
      </c>
      <c r="N126" s="513"/>
      <c r="O126" s="505">
        <f t="shared" si="9"/>
        <v>0</v>
      </c>
      <c r="P126" s="505">
        <f t="shared" si="10"/>
        <v>0</v>
      </c>
      <c r="Q126" s="244"/>
      <c r="R126" s="244"/>
      <c r="S126" s="244"/>
      <c r="T126" s="244"/>
      <c r="U126" s="244"/>
    </row>
    <row r="127" spans="3:21" ht="12.5">
      <c r="C127" s="496">
        <f>IF(D94="","-",+C126+1)</f>
        <v>2043</v>
      </c>
      <c r="D127" s="350">
        <f>IF(F126+SUM(E$100:E126)=D$93,F126,D$93-SUM(E$100:E126))</f>
        <v>4997537.6857142616</v>
      </c>
      <c r="E127" s="510">
        <f>IF(+J97&lt;F126,J97,D127)</f>
        <v>2437409.6071428573</v>
      </c>
      <c r="F127" s="511">
        <f t="shared" si="11"/>
        <v>2560128.0785714043</v>
      </c>
      <c r="G127" s="511">
        <f t="shared" si="12"/>
        <v>3778832.882142833</v>
      </c>
      <c r="H127" s="646">
        <f t="shared" si="14"/>
        <v>2839528.4361557015</v>
      </c>
      <c r="I127" s="628">
        <f t="shared" si="13"/>
        <v>2839528.4361557015</v>
      </c>
      <c r="J127" s="505">
        <f t="shared" si="7"/>
        <v>0</v>
      </c>
      <c r="K127" s="505"/>
      <c r="L127" s="513"/>
      <c r="M127" s="505">
        <f t="shared" si="8"/>
        <v>0</v>
      </c>
      <c r="N127" s="513"/>
      <c r="O127" s="505">
        <f t="shared" si="9"/>
        <v>0</v>
      </c>
      <c r="P127" s="505">
        <f t="shared" si="10"/>
        <v>0</v>
      </c>
      <c r="Q127" s="244"/>
      <c r="R127" s="244"/>
      <c r="S127" s="244"/>
      <c r="T127" s="244"/>
      <c r="U127" s="244"/>
    </row>
    <row r="128" spans="3:21" ht="12.5">
      <c r="C128" s="496">
        <f>IF(D94="","-",+C127+1)</f>
        <v>2044</v>
      </c>
      <c r="D128" s="350">
        <f>IF(F127+SUM(E$100:E127)=D$93,F127,D$93-SUM(E$100:E127))</f>
        <v>2560128.0785714043</v>
      </c>
      <c r="E128" s="510">
        <f>IF(+J97&lt;F127,J97,D128)</f>
        <v>2437409.6071428573</v>
      </c>
      <c r="F128" s="511">
        <f t="shared" si="11"/>
        <v>122718.47142854705</v>
      </c>
      <c r="G128" s="511">
        <f t="shared" si="12"/>
        <v>1341423.2749999757</v>
      </c>
      <c r="H128" s="646">
        <f t="shared" si="14"/>
        <v>2580155.1514358046</v>
      </c>
      <c r="I128" s="628">
        <f t="shared" si="13"/>
        <v>2580155.1514358046</v>
      </c>
      <c r="J128" s="505">
        <f t="shared" si="7"/>
        <v>0</v>
      </c>
      <c r="K128" s="505"/>
      <c r="L128" s="513"/>
      <c r="M128" s="505">
        <f t="shared" si="8"/>
        <v>0</v>
      </c>
      <c r="N128" s="513"/>
      <c r="O128" s="505">
        <f t="shared" si="9"/>
        <v>0</v>
      </c>
      <c r="P128" s="505">
        <f t="shared" si="10"/>
        <v>0</v>
      </c>
      <c r="Q128" s="244"/>
      <c r="R128" s="244"/>
      <c r="S128" s="244"/>
      <c r="T128" s="244"/>
      <c r="U128" s="244"/>
    </row>
    <row r="129" spans="3:21" ht="12.5">
      <c r="C129" s="496">
        <f>IF(D94="","-",+C128+1)</f>
        <v>2045</v>
      </c>
      <c r="D129" s="350">
        <f>IF(F128+SUM(E$100:E128)=D$93,F128,D$93-SUM(E$100:E128))</f>
        <v>122718.47142854705</v>
      </c>
      <c r="E129" s="510">
        <f>IF(+J97&lt;F128,J97,D129)</f>
        <v>122718.47142854705</v>
      </c>
      <c r="F129" s="511">
        <f t="shared" si="11"/>
        <v>0</v>
      </c>
      <c r="G129" s="511">
        <f t="shared" si="12"/>
        <v>61359.235714273527</v>
      </c>
      <c r="H129" s="646">
        <f t="shared" si="14"/>
        <v>129247.92239504633</v>
      </c>
      <c r="I129" s="628">
        <f t="shared" si="13"/>
        <v>129247.92239504633</v>
      </c>
      <c r="J129" s="505">
        <f t="shared" si="7"/>
        <v>0</v>
      </c>
      <c r="K129" s="505"/>
      <c r="L129" s="513"/>
      <c r="M129" s="505">
        <f t="shared" si="8"/>
        <v>0</v>
      </c>
      <c r="N129" s="513"/>
      <c r="O129" s="505">
        <f t="shared" si="9"/>
        <v>0</v>
      </c>
      <c r="P129" s="505">
        <f t="shared" si="10"/>
        <v>0</v>
      </c>
      <c r="Q129" s="244"/>
      <c r="R129" s="244"/>
      <c r="S129" s="244"/>
      <c r="T129" s="244"/>
      <c r="U129" s="244"/>
    </row>
    <row r="130" spans="3:21" ht="12.5">
      <c r="C130" s="496">
        <f>IF(D94="","-",+C129+1)</f>
        <v>2046</v>
      </c>
      <c r="D130" s="350">
        <f>IF(F129+SUM(E$100:E129)=D$93,F129,D$93-SUM(E$100:E129))</f>
        <v>0</v>
      </c>
      <c r="E130" s="510">
        <f>IF(+J97&lt;F129,J97,D130)</f>
        <v>0</v>
      </c>
      <c r="F130" s="511">
        <f t="shared" si="11"/>
        <v>0</v>
      </c>
      <c r="G130" s="511">
        <f t="shared" si="12"/>
        <v>0</v>
      </c>
      <c r="H130" s="646">
        <f t="shared" si="14"/>
        <v>0</v>
      </c>
      <c r="I130" s="628">
        <f t="shared" si="13"/>
        <v>0</v>
      </c>
      <c r="J130" s="505">
        <f t="shared" si="7"/>
        <v>0</v>
      </c>
      <c r="K130" s="505"/>
      <c r="L130" s="513"/>
      <c r="M130" s="505">
        <f t="shared" si="8"/>
        <v>0</v>
      </c>
      <c r="N130" s="513"/>
      <c r="O130" s="505">
        <f t="shared" si="9"/>
        <v>0</v>
      </c>
      <c r="P130" s="505">
        <f t="shared" si="10"/>
        <v>0</v>
      </c>
      <c r="Q130" s="244"/>
      <c r="R130" s="244"/>
      <c r="S130" s="244"/>
      <c r="T130" s="244"/>
      <c r="U130" s="244"/>
    </row>
    <row r="131" spans="3:21" ht="12.5">
      <c r="C131" s="496">
        <f>IF(D94="","-",+C130+1)</f>
        <v>2047</v>
      </c>
      <c r="D131" s="350">
        <f>IF(F130+SUM(E$100:E130)=D$93,F130,D$93-SUM(E$100:E130))</f>
        <v>0</v>
      </c>
      <c r="E131" s="510">
        <f>IF(+J97&lt;F130,J97,D131)</f>
        <v>0</v>
      </c>
      <c r="F131" s="511">
        <f t="shared" si="11"/>
        <v>0</v>
      </c>
      <c r="G131" s="511">
        <f t="shared" si="12"/>
        <v>0</v>
      </c>
      <c r="H131" s="646">
        <f t="shared" si="14"/>
        <v>0</v>
      </c>
      <c r="I131" s="628">
        <f t="shared" si="13"/>
        <v>0</v>
      </c>
      <c r="J131" s="505">
        <f t="shared" si="7"/>
        <v>0</v>
      </c>
      <c r="K131" s="505"/>
      <c r="L131" s="513"/>
      <c r="M131" s="505">
        <f t="shared" si="8"/>
        <v>0</v>
      </c>
      <c r="N131" s="513"/>
      <c r="O131" s="505">
        <f t="shared" si="9"/>
        <v>0</v>
      </c>
      <c r="P131" s="505">
        <f t="shared" si="10"/>
        <v>0</v>
      </c>
      <c r="Q131" s="244"/>
      <c r="R131" s="244"/>
      <c r="S131" s="244"/>
      <c r="T131" s="244"/>
      <c r="U131" s="244"/>
    </row>
    <row r="132" spans="3:21" ht="12.5">
      <c r="C132" s="496">
        <f>IF(D94="","-",+C131+1)</f>
        <v>2048</v>
      </c>
      <c r="D132" s="350">
        <f>IF(F131+SUM(E$100:E131)=D$93,F131,D$93-SUM(E$100:E131))</f>
        <v>0</v>
      </c>
      <c r="E132" s="510">
        <f>IF(+J97&lt;F131,J97,D132)</f>
        <v>0</v>
      </c>
      <c r="F132" s="511">
        <f t="shared" ref="F132:F155" si="15">+D132-E132</f>
        <v>0</v>
      </c>
      <c r="G132" s="511">
        <f t="shared" ref="G132:G155" si="16">+(F132+D132)/2</f>
        <v>0</v>
      </c>
      <c r="H132" s="646">
        <f t="shared" si="14"/>
        <v>0</v>
      </c>
      <c r="I132" s="628">
        <f t="shared" si="13"/>
        <v>0</v>
      </c>
      <c r="J132" s="505">
        <f t="shared" ref="J132:J155" si="17">+I542-H542</f>
        <v>0</v>
      </c>
      <c r="K132" s="505"/>
      <c r="L132" s="513"/>
      <c r="M132" s="505">
        <f t="shared" ref="M132:M155" si="18">IF(L542&lt;&gt;0,+H542-L542,0)</f>
        <v>0</v>
      </c>
      <c r="N132" s="513"/>
      <c r="O132" s="505">
        <f t="shared" ref="O132:O155" si="19">IF(N542&lt;&gt;0,+I542-N542,0)</f>
        <v>0</v>
      </c>
      <c r="P132" s="505">
        <f t="shared" ref="P132:P155" si="20">+O542-M542</f>
        <v>0</v>
      </c>
      <c r="Q132" s="244"/>
      <c r="R132" s="244"/>
      <c r="S132" s="244"/>
      <c r="T132" s="244"/>
      <c r="U132" s="244"/>
    </row>
    <row r="133" spans="3:21" ht="12.5">
      <c r="C133" s="496">
        <f>IF(D94="","-",+C132+1)</f>
        <v>2049</v>
      </c>
      <c r="D133" s="350">
        <f>IF(F132+SUM(E$100:E132)=D$93,F132,D$93-SUM(E$100:E132))</f>
        <v>0</v>
      </c>
      <c r="E133" s="510">
        <f>IF(+J97&lt;F132,J97,D133)</f>
        <v>0</v>
      </c>
      <c r="F133" s="511">
        <f t="shared" si="15"/>
        <v>0</v>
      </c>
      <c r="G133" s="511">
        <f t="shared" si="16"/>
        <v>0</v>
      </c>
      <c r="H133" s="646">
        <f t="shared" si="14"/>
        <v>0</v>
      </c>
      <c r="I133" s="628">
        <f t="shared" si="13"/>
        <v>0</v>
      </c>
      <c r="J133" s="505">
        <f t="shared" si="17"/>
        <v>0</v>
      </c>
      <c r="K133" s="505"/>
      <c r="L133" s="513"/>
      <c r="M133" s="505">
        <f t="shared" si="18"/>
        <v>0</v>
      </c>
      <c r="N133" s="513"/>
      <c r="O133" s="505">
        <f t="shared" si="19"/>
        <v>0</v>
      </c>
      <c r="P133" s="505">
        <f t="shared" si="20"/>
        <v>0</v>
      </c>
      <c r="Q133" s="244"/>
      <c r="R133" s="244"/>
      <c r="S133" s="244"/>
      <c r="T133" s="244"/>
      <c r="U133" s="244"/>
    </row>
    <row r="134" spans="3:21" ht="12.5">
      <c r="C134" s="496">
        <f>IF(D94="","-",+C133+1)</f>
        <v>2050</v>
      </c>
      <c r="D134" s="350">
        <f>IF(F133+SUM(E$100:E133)=D$93,F133,D$93-SUM(E$100:E133))</f>
        <v>0</v>
      </c>
      <c r="E134" s="510">
        <f>IF(+J97&lt;F133,J97,D134)</f>
        <v>0</v>
      </c>
      <c r="F134" s="511">
        <f t="shared" si="15"/>
        <v>0</v>
      </c>
      <c r="G134" s="511">
        <f t="shared" si="16"/>
        <v>0</v>
      </c>
      <c r="H134" s="646">
        <f t="shared" si="14"/>
        <v>0</v>
      </c>
      <c r="I134" s="628">
        <f t="shared" si="13"/>
        <v>0</v>
      </c>
      <c r="J134" s="505">
        <f t="shared" si="17"/>
        <v>0</v>
      </c>
      <c r="K134" s="505"/>
      <c r="L134" s="513"/>
      <c r="M134" s="505">
        <f t="shared" si="18"/>
        <v>0</v>
      </c>
      <c r="N134" s="513"/>
      <c r="O134" s="505">
        <f t="shared" si="19"/>
        <v>0</v>
      </c>
      <c r="P134" s="505">
        <f t="shared" si="20"/>
        <v>0</v>
      </c>
      <c r="Q134" s="244"/>
      <c r="R134" s="244"/>
      <c r="S134" s="244"/>
      <c r="T134" s="244"/>
      <c r="U134" s="244"/>
    </row>
    <row r="135" spans="3:21" ht="12.5">
      <c r="C135" s="496">
        <f>IF(D94="","-",+C134+1)</f>
        <v>2051</v>
      </c>
      <c r="D135" s="350">
        <f>IF(F134+SUM(E$100:E134)=D$93,F134,D$93-SUM(E$100:E134))</f>
        <v>0</v>
      </c>
      <c r="E135" s="510">
        <f>IF(+J97&lt;F134,J97,D135)</f>
        <v>0</v>
      </c>
      <c r="F135" s="511">
        <f t="shared" si="15"/>
        <v>0</v>
      </c>
      <c r="G135" s="511">
        <f t="shared" si="16"/>
        <v>0</v>
      </c>
      <c r="H135" s="646">
        <f t="shared" si="14"/>
        <v>0</v>
      </c>
      <c r="I135" s="628">
        <f t="shared" si="13"/>
        <v>0</v>
      </c>
      <c r="J135" s="505">
        <f t="shared" si="17"/>
        <v>0</v>
      </c>
      <c r="K135" s="505"/>
      <c r="L135" s="513"/>
      <c r="M135" s="505">
        <f t="shared" si="18"/>
        <v>0</v>
      </c>
      <c r="N135" s="513"/>
      <c r="O135" s="505">
        <f t="shared" si="19"/>
        <v>0</v>
      </c>
      <c r="P135" s="505">
        <f t="shared" si="20"/>
        <v>0</v>
      </c>
      <c r="Q135" s="244"/>
      <c r="R135" s="244"/>
      <c r="S135" s="244"/>
      <c r="T135" s="244"/>
      <c r="U135" s="244"/>
    </row>
    <row r="136" spans="3:21" ht="12.5">
      <c r="C136" s="496">
        <f>IF(D94="","-",+C135+1)</f>
        <v>2052</v>
      </c>
      <c r="D136" s="350">
        <f>IF(F135+SUM(E$100:E135)=D$93,F135,D$93-SUM(E$100:E135))</f>
        <v>0</v>
      </c>
      <c r="E136" s="510">
        <f>IF(+J97&lt;F135,J97,D136)</f>
        <v>0</v>
      </c>
      <c r="F136" s="511">
        <f t="shared" si="15"/>
        <v>0</v>
      </c>
      <c r="G136" s="511">
        <f t="shared" si="16"/>
        <v>0</v>
      </c>
      <c r="H136" s="646">
        <f t="shared" si="14"/>
        <v>0</v>
      </c>
      <c r="I136" s="628">
        <f t="shared" si="13"/>
        <v>0</v>
      </c>
      <c r="J136" s="505">
        <f t="shared" si="17"/>
        <v>0</v>
      </c>
      <c r="K136" s="505"/>
      <c r="L136" s="513"/>
      <c r="M136" s="505">
        <f t="shared" si="18"/>
        <v>0</v>
      </c>
      <c r="N136" s="513"/>
      <c r="O136" s="505">
        <f t="shared" si="19"/>
        <v>0</v>
      </c>
      <c r="P136" s="505">
        <f t="shared" si="20"/>
        <v>0</v>
      </c>
      <c r="Q136" s="244"/>
      <c r="R136" s="244"/>
      <c r="S136" s="244"/>
      <c r="T136" s="244"/>
      <c r="U136" s="244"/>
    </row>
    <row r="137" spans="3:21" ht="12.5">
      <c r="C137" s="496">
        <f>IF(D94="","-",+C136+1)</f>
        <v>2053</v>
      </c>
      <c r="D137" s="350">
        <f>IF(F136+SUM(E$100:E136)=D$93,F136,D$93-SUM(E$100:E136))</f>
        <v>0</v>
      </c>
      <c r="E137" s="510">
        <f>IF(+J97&lt;F136,J97,D137)</f>
        <v>0</v>
      </c>
      <c r="F137" s="511">
        <f t="shared" si="15"/>
        <v>0</v>
      </c>
      <c r="G137" s="511">
        <f t="shared" si="16"/>
        <v>0</v>
      </c>
      <c r="H137" s="646">
        <f t="shared" si="14"/>
        <v>0</v>
      </c>
      <c r="I137" s="628">
        <f t="shared" si="13"/>
        <v>0</v>
      </c>
      <c r="J137" s="505">
        <f t="shared" si="17"/>
        <v>0</v>
      </c>
      <c r="K137" s="505"/>
      <c r="L137" s="513"/>
      <c r="M137" s="505">
        <f t="shared" si="18"/>
        <v>0</v>
      </c>
      <c r="N137" s="513"/>
      <c r="O137" s="505">
        <f t="shared" si="19"/>
        <v>0</v>
      </c>
      <c r="P137" s="505">
        <f t="shared" si="20"/>
        <v>0</v>
      </c>
      <c r="Q137" s="244"/>
      <c r="R137" s="244"/>
      <c r="S137" s="244"/>
      <c r="T137" s="244"/>
      <c r="U137" s="244"/>
    </row>
    <row r="138" spans="3:21" ht="12.5">
      <c r="C138" s="496">
        <f>IF(D94="","-",+C137+1)</f>
        <v>2054</v>
      </c>
      <c r="D138" s="350">
        <f>IF(F137+SUM(E$100:E137)=D$93,F137,D$93-SUM(E$100:E137))</f>
        <v>0</v>
      </c>
      <c r="E138" s="510">
        <f>IF(+J97&lt;F137,J97,D138)</f>
        <v>0</v>
      </c>
      <c r="F138" s="511">
        <f t="shared" si="15"/>
        <v>0</v>
      </c>
      <c r="G138" s="511">
        <f t="shared" si="16"/>
        <v>0</v>
      </c>
      <c r="H138" s="646">
        <f t="shared" si="14"/>
        <v>0</v>
      </c>
      <c r="I138" s="628">
        <f t="shared" si="13"/>
        <v>0</v>
      </c>
      <c r="J138" s="505">
        <f t="shared" si="17"/>
        <v>0</v>
      </c>
      <c r="K138" s="505"/>
      <c r="L138" s="513"/>
      <c r="M138" s="505">
        <f t="shared" si="18"/>
        <v>0</v>
      </c>
      <c r="N138" s="513"/>
      <c r="O138" s="505">
        <f t="shared" si="19"/>
        <v>0</v>
      </c>
      <c r="P138" s="505">
        <f t="shared" si="20"/>
        <v>0</v>
      </c>
      <c r="Q138" s="244"/>
      <c r="R138" s="244"/>
      <c r="S138" s="244"/>
      <c r="T138" s="244"/>
      <c r="U138" s="244"/>
    </row>
    <row r="139" spans="3:21" ht="12.5">
      <c r="C139" s="496">
        <f>IF(D94="","-",+C138+1)</f>
        <v>2055</v>
      </c>
      <c r="D139" s="350">
        <f>IF(F138+SUM(E$100:E138)=D$93,F138,D$93-SUM(E$100:E138))</f>
        <v>0</v>
      </c>
      <c r="E139" s="510">
        <f>IF(+J97&lt;F138,J97,D139)</f>
        <v>0</v>
      </c>
      <c r="F139" s="511">
        <f t="shared" si="15"/>
        <v>0</v>
      </c>
      <c r="G139" s="511">
        <f t="shared" si="16"/>
        <v>0</v>
      </c>
      <c r="H139" s="646">
        <f t="shared" si="14"/>
        <v>0</v>
      </c>
      <c r="I139" s="628">
        <f t="shared" si="13"/>
        <v>0</v>
      </c>
      <c r="J139" s="505">
        <f t="shared" si="17"/>
        <v>0</v>
      </c>
      <c r="K139" s="505"/>
      <c r="L139" s="513"/>
      <c r="M139" s="505">
        <f t="shared" si="18"/>
        <v>0</v>
      </c>
      <c r="N139" s="513"/>
      <c r="O139" s="505">
        <f t="shared" si="19"/>
        <v>0</v>
      </c>
      <c r="P139" s="505">
        <f t="shared" si="20"/>
        <v>0</v>
      </c>
      <c r="Q139" s="244"/>
      <c r="R139" s="244"/>
      <c r="S139" s="244"/>
      <c r="T139" s="244"/>
      <c r="U139" s="244"/>
    </row>
    <row r="140" spans="3:21" ht="12.5">
      <c r="C140" s="496">
        <f>IF(D94="","-",+C139+1)</f>
        <v>2056</v>
      </c>
      <c r="D140" s="350">
        <f>IF(F139+SUM(E$100:E139)=D$93,F139,D$93-SUM(E$100:E139))</f>
        <v>0</v>
      </c>
      <c r="E140" s="510">
        <f>IF(+J97&lt;F139,J97,D140)</f>
        <v>0</v>
      </c>
      <c r="F140" s="511">
        <f t="shared" si="15"/>
        <v>0</v>
      </c>
      <c r="G140" s="511">
        <f t="shared" si="16"/>
        <v>0</v>
      </c>
      <c r="H140" s="646">
        <f t="shared" si="14"/>
        <v>0</v>
      </c>
      <c r="I140" s="628">
        <f t="shared" si="13"/>
        <v>0</v>
      </c>
      <c r="J140" s="505">
        <f t="shared" si="17"/>
        <v>0</v>
      </c>
      <c r="K140" s="505"/>
      <c r="L140" s="513"/>
      <c r="M140" s="505">
        <f t="shared" si="18"/>
        <v>0</v>
      </c>
      <c r="N140" s="513"/>
      <c r="O140" s="505">
        <f t="shared" si="19"/>
        <v>0</v>
      </c>
      <c r="P140" s="505">
        <f t="shared" si="20"/>
        <v>0</v>
      </c>
      <c r="Q140" s="244"/>
      <c r="R140" s="244"/>
      <c r="S140" s="244"/>
      <c r="T140" s="244"/>
      <c r="U140" s="244"/>
    </row>
    <row r="141" spans="3:21" ht="12.5">
      <c r="C141" s="496">
        <f>IF(D94="","-",+C140+1)</f>
        <v>2057</v>
      </c>
      <c r="D141" s="350">
        <f>IF(F140+SUM(E$100:E140)=D$93,F140,D$93-SUM(E$100:E140))</f>
        <v>0</v>
      </c>
      <c r="E141" s="510">
        <f>IF(+J97&lt;F140,J97,D141)</f>
        <v>0</v>
      </c>
      <c r="F141" s="511">
        <f t="shared" si="15"/>
        <v>0</v>
      </c>
      <c r="G141" s="511">
        <f t="shared" si="16"/>
        <v>0</v>
      </c>
      <c r="H141" s="646">
        <f t="shared" si="14"/>
        <v>0</v>
      </c>
      <c r="I141" s="628">
        <f t="shared" si="13"/>
        <v>0</v>
      </c>
      <c r="J141" s="505">
        <f t="shared" si="17"/>
        <v>0</v>
      </c>
      <c r="K141" s="505"/>
      <c r="L141" s="513"/>
      <c r="M141" s="505">
        <f t="shared" si="18"/>
        <v>0</v>
      </c>
      <c r="N141" s="513"/>
      <c r="O141" s="505">
        <f t="shared" si="19"/>
        <v>0</v>
      </c>
      <c r="P141" s="505">
        <f t="shared" si="20"/>
        <v>0</v>
      </c>
      <c r="Q141" s="244"/>
      <c r="R141" s="244"/>
      <c r="S141" s="244"/>
      <c r="T141" s="244"/>
      <c r="U141" s="244"/>
    </row>
    <row r="142" spans="3:21" ht="12.5">
      <c r="C142" s="496">
        <f>IF(D94="","-",+C141+1)</f>
        <v>2058</v>
      </c>
      <c r="D142" s="350">
        <f>IF(F141+SUM(E$100:E141)=D$93,F141,D$93-SUM(E$100:E141))</f>
        <v>0</v>
      </c>
      <c r="E142" s="510">
        <f>IF(+J97&lt;F141,J97,D142)</f>
        <v>0</v>
      </c>
      <c r="F142" s="511">
        <f t="shared" si="15"/>
        <v>0</v>
      </c>
      <c r="G142" s="511">
        <f t="shared" si="16"/>
        <v>0</v>
      </c>
      <c r="H142" s="646">
        <f t="shared" si="14"/>
        <v>0</v>
      </c>
      <c r="I142" s="628">
        <f t="shared" si="13"/>
        <v>0</v>
      </c>
      <c r="J142" s="505">
        <f t="shared" si="17"/>
        <v>0</v>
      </c>
      <c r="K142" s="505"/>
      <c r="L142" s="513"/>
      <c r="M142" s="505">
        <f t="shared" si="18"/>
        <v>0</v>
      </c>
      <c r="N142" s="513"/>
      <c r="O142" s="505">
        <f t="shared" si="19"/>
        <v>0</v>
      </c>
      <c r="P142" s="505">
        <f t="shared" si="20"/>
        <v>0</v>
      </c>
      <c r="Q142" s="244"/>
      <c r="R142" s="244"/>
      <c r="S142" s="244"/>
      <c r="T142" s="244"/>
      <c r="U142" s="244"/>
    </row>
    <row r="143" spans="3:21" ht="12.5">
      <c r="C143" s="496">
        <f>IF(D94="","-",+C142+1)</f>
        <v>2059</v>
      </c>
      <c r="D143" s="350">
        <f>IF(F142+SUM(E$100:E142)=D$93,F142,D$93-SUM(E$100:E142))</f>
        <v>0</v>
      </c>
      <c r="E143" s="510">
        <f>IF(+J97&lt;F142,J97,D143)</f>
        <v>0</v>
      </c>
      <c r="F143" s="511">
        <f t="shared" si="15"/>
        <v>0</v>
      </c>
      <c r="G143" s="511">
        <f t="shared" si="16"/>
        <v>0</v>
      </c>
      <c r="H143" s="646">
        <f t="shared" si="14"/>
        <v>0</v>
      </c>
      <c r="I143" s="628">
        <f t="shared" si="13"/>
        <v>0</v>
      </c>
      <c r="J143" s="505">
        <f t="shared" si="17"/>
        <v>0</v>
      </c>
      <c r="K143" s="505"/>
      <c r="L143" s="513"/>
      <c r="M143" s="505">
        <f t="shared" si="18"/>
        <v>0</v>
      </c>
      <c r="N143" s="513"/>
      <c r="O143" s="505">
        <f t="shared" si="19"/>
        <v>0</v>
      </c>
      <c r="P143" s="505">
        <f t="shared" si="20"/>
        <v>0</v>
      </c>
      <c r="Q143" s="244"/>
      <c r="R143" s="244"/>
      <c r="S143" s="244"/>
      <c r="T143" s="244"/>
      <c r="U143" s="244"/>
    </row>
    <row r="144" spans="3:21" ht="12.5">
      <c r="C144" s="496">
        <f>IF(D94="","-",+C143+1)</f>
        <v>2060</v>
      </c>
      <c r="D144" s="350">
        <f>IF(F143+SUM(E$100:E143)=D$93,F143,D$93-SUM(E$100:E143))</f>
        <v>0</v>
      </c>
      <c r="E144" s="510">
        <f>IF(+J97&lt;F143,J97,D144)</f>
        <v>0</v>
      </c>
      <c r="F144" s="511">
        <f t="shared" si="15"/>
        <v>0</v>
      </c>
      <c r="G144" s="511">
        <f t="shared" si="16"/>
        <v>0</v>
      </c>
      <c r="H144" s="646">
        <f t="shared" si="14"/>
        <v>0</v>
      </c>
      <c r="I144" s="628">
        <f t="shared" si="13"/>
        <v>0</v>
      </c>
      <c r="J144" s="505">
        <f t="shared" si="17"/>
        <v>0</v>
      </c>
      <c r="K144" s="505"/>
      <c r="L144" s="513"/>
      <c r="M144" s="505">
        <f t="shared" si="18"/>
        <v>0</v>
      </c>
      <c r="N144" s="513"/>
      <c r="O144" s="505">
        <f t="shared" si="19"/>
        <v>0</v>
      </c>
      <c r="P144" s="505">
        <f t="shared" si="20"/>
        <v>0</v>
      </c>
      <c r="Q144" s="244"/>
      <c r="R144" s="244"/>
      <c r="S144" s="244"/>
      <c r="T144" s="244"/>
      <c r="U144" s="244"/>
    </row>
    <row r="145" spans="3:21" ht="12.5">
      <c r="C145" s="496">
        <f>IF(D94="","-",+C144+1)</f>
        <v>2061</v>
      </c>
      <c r="D145" s="350">
        <f>IF(F144+SUM(E$100:E144)=D$93,F144,D$93-SUM(E$100:E144))</f>
        <v>0</v>
      </c>
      <c r="E145" s="510">
        <f>IF(+J97&lt;F144,J97,D145)</f>
        <v>0</v>
      </c>
      <c r="F145" s="511">
        <f t="shared" si="15"/>
        <v>0</v>
      </c>
      <c r="G145" s="511">
        <f t="shared" si="16"/>
        <v>0</v>
      </c>
      <c r="H145" s="646">
        <f t="shared" si="14"/>
        <v>0</v>
      </c>
      <c r="I145" s="628">
        <f t="shared" si="13"/>
        <v>0</v>
      </c>
      <c r="J145" s="505">
        <f t="shared" si="17"/>
        <v>0</v>
      </c>
      <c r="K145" s="505"/>
      <c r="L145" s="513"/>
      <c r="M145" s="505">
        <f t="shared" si="18"/>
        <v>0</v>
      </c>
      <c r="N145" s="513"/>
      <c r="O145" s="505">
        <f t="shared" si="19"/>
        <v>0</v>
      </c>
      <c r="P145" s="505">
        <f t="shared" si="20"/>
        <v>0</v>
      </c>
      <c r="Q145" s="244"/>
      <c r="R145" s="244"/>
      <c r="S145" s="244"/>
      <c r="T145" s="244"/>
      <c r="U145" s="244"/>
    </row>
    <row r="146" spans="3:21" ht="12.5">
      <c r="C146" s="496">
        <f>IF(D94="","-",+C145+1)</f>
        <v>2062</v>
      </c>
      <c r="D146" s="350">
        <f>IF(F145+SUM(E$100:E145)=D$93,F145,D$93-SUM(E$100:E145))</f>
        <v>0</v>
      </c>
      <c r="E146" s="510">
        <f>IF(+J97&lt;F145,J97,D146)</f>
        <v>0</v>
      </c>
      <c r="F146" s="511">
        <f t="shared" si="15"/>
        <v>0</v>
      </c>
      <c r="G146" s="511">
        <f t="shared" si="16"/>
        <v>0</v>
      </c>
      <c r="H146" s="646">
        <f t="shared" si="14"/>
        <v>0</v>
      </c>
      <c r="I146" s="628">
        <f t="shared" si="13"/>
        <v>0</v>
      </c>
      <c r="J146" s="505">
        <f t="shared" si="17"/>
        <v>0</v>
      </c>
      <c r="K146" s="505"/>
      <c r="L146" s="513"/>
      <c r="M146" s="505">
        <f t="shared" si="18"/>
        <v>0</v>
      </c>
      <c r="N146" s="513"/>
      <c r="O146" s="505">
        <f t="shared" si="19"/>
        <v>0</v>
      </c>
      <c r="P146" s="505">
        <f t="shared" si="20"/>
        <v>0</v>
      </c>
      <c r="Q146" s="244"/>
      <c r="R146" s="244"/>
      <c r="S146" s="244"/>
      <c r="T146" s="244"/>
      <c r="U146" s="244"/>
    </row>
    <row r="147" spans="3:21" ht="12.5">
      <c r="C147" s="496">
        <f>IF(D94="","-",+C146+1)</f>
        <v>2063</v>
      </c>
      <c r="D147" s="350">
        <f>IF(F146+SUM(E$100:E146)=D$93,F146,D$93-SUM(E$100:E146))</f>
        <v>0</v>
      </c>
      <c r="E147" s="510">
        <f>IF(+J97&lt;F146,J97,D147)</f>
        <v>0</v>
      </c>
      <c r="F147" s="511">
        <f t="shared" si="15"/>
        <v>0</v>
      </c>
      <c r="G147" s="511">
        <f t="shared" si="16"/>
        <v>0</v>
      </c>
      <c r="H147" s="646">
        <f t="shared" si="14"/>
        <v>0</v>
      </c>
      <c r="I147" s="628">
        <f t="shared" si="13"/>
        <v>0</v>
      </c>
      <c r="J147" s="505">
        <f t="shared" si="17"/>
        <v>0</v>
      </c>
      <c r="K147" s="505"/>
      <c r="L147" s="513"/>
      <c r="M147" s="505">
        <f t="shared" si="18"/>
        <v>0</v>
      </c>
      <c r="N147" s="513"/>
      <c r="O147" s="505">
        <f t="shared" si="19"/>
        <v>0</v>
      </c>
      <c r="P147" s="505">
        <f t="shared" si="20"/>
        <v>0</v>
      </c>
      <c r="Q147" s="244"/>
      <c r="R147" s="244"/>
      <c r="S147" s="244"/>
      <c r="T147" s="244"/>
      <c r="U147" s="244"/>
    </row>
    <row r="148" spans="3:21" ht="12.5">
      <c r="C148" s="496">
        <f>IF(D94="","-",+C147+1)</f>
        <v>2064</v>
      </c>
      <c r="D148" s="350">
        <f>IF(F147+SUM(E$100:E147)=D$93,F147,D$93-SUM(E$100:E147))</f>
        <v>0</v>
      </c>
      <c r="E148" s="510">
        <f>IF(+J97&lt;F147,J97,D148)</f>
        <v>0</v>
      </c>
      <c r="F148" s="511">
        <f t="shared" si="15"/>
        <v>0</v>
      </c>
      <c r="G148" s="511">
        <f t="shared" si="16"/>
        <v>0</v>
      </c>
      <c r="H148" s="646">
        <f t="shared" si="14"/>
        <v>0</v>
      </c>
      <c r="I148" s="628">
        <f t="shared" si="13"/>
        <v>0</v>
      </c>
      <c r="J148" s="505">
        <f t="shared" si="17"/>
        <v>0</v>
      </c>
      <c r="K148" s="505"/>
      <c r="L148" s="513"/>
      <c r="M148" s="505">
        <f t="shared" si="18"/>
        <v>0</v>
      </c>
      <c r="N148" s="513"/>
      <c r="O148" s="505">
        <f t="shared" si="19"/>
        <v>0</v>
      </c>
      <c r="P148" s="505">
        <f t="shared" si="20"/>
        <v>0</v>
      </c>
      <c r="Q148" s="244"/>
      <c r="R148" s="244"/>
      <c r="S148" s="244"/>
      <c r="T148" s="244"/>
      <c r="U148" s="244"/>
    </row>
    <row r="149" spans="3:21" ht="12.5">
      <c r="C149" s="496">
        <f>IF(D94="","-",+C148+1)</f>
        <v>2065</v>
      </c>
      <c r="D149" s="350">
        <f>IF(F148+SUM(E$100:E148)=D$93,F148,D$93-SUM(E$100:E148))</f>
        <v>0</v>
      </c>
      <c r="E149" s="510">
        <f>IF(+J97&lt;F148,J97,D149)</f>
        <v>0</v>
      </c>
      <c r="F149" s="511">
        <f t="shared" si="15"/>
        <v>0</v>
      </c>
      <c r="G149" s="511">
        <f t="shared" si="16"/>
        <v>0</v>
      </c>
      <c r="H149" s="646">
        <f t="shared" si="14"/>
        <v>0</v>
      </c>
      <c r="I149" s="628">
        <f t="shared" si="13"/>
        <v>0</v>
      </c>
      <c r="J149" s="505">
        <f t="shared" si="17"/>
        <v>0</v>
      </c>
      <c r="K149" s="505"/>
      <c r="L149" s="513"/>
      <c r="M149" s="505">
        <f t="shared" si="18"/>
        <v>0</v>
      </c>
      <c r="N149" s="513"/>
      <c r="O149" s="505">
        <f t="shared" si="19"/>
        <v>0</v>
      </c>
      <c r="P149" s="505">
        <f t="shared" si="20"/>
        <v>0</v>
      </c>
      <c r="Q149" s="244"/>
      <c r="R149" s="244"/>
      <c r="S149" s="244"/>
      <c r="T149" s="244"/>
      <c r="U149" s="244"/>
    </row>
    <row r="150" spans="3:21" ht="12.5">
      <c r="C150" s="496">
        <f>IF(D94="","-",+C149+1)</f>
        <v>2066</v>
      </c>
      <c r="D150" s="350">
        <f>IF(F149+SUM(E$100:E149)=D$93,F149,D$93-SUM(E$100:E149))</f>
        <v>0</v>
      </c>
      <c r="E150" s="510">
        <f>IF(+J97&lt;F149,J97,D150)</f>
        <v>0</v>
      </c>
      <c r="F150" s="511">
        <f t="shared" si="15"/>
        <v>0</v>
      </c>
      <c r="G150" s="511">
        <f t="shared" si="16"/>
        <v>0</v>
      </c>
      <c r="H150" s="646">
        <f t="shared" si="14"/>
        <v>0</v>
      </c>
      <c r="I150" s="628">
        <f t="shared" si="13"/>
        <v>0</v>
      </c>
      <c r="J150" s="505">
        <f t="shared" si="17"/>
        <v>0</v>
      </c>
      <c r="K150" s="505"/>
      <c r="L150" s="513"/>
      <c r="M150" s="505">
        <f t="shared" si="18"/>
        <v>0</v>
      </c>
      <c r="N150" s="513"/>
      <c r="O150" s="505">
        <f t="shared" si="19"/>
        <v>0</v>
      </c>
      <c r="P150" s="505">
        <f t="shared" si="20"/>
        <v>0</v>
      </c>
      <c r="Q150" s="244"/>
      <c r="R150" s="244"/>
      <c r="S150" s="244"/>
      <c r="T150" s="244"/>
      <c r="U150" s="244"/>
    </row>
    <row r="151" spans="3:21" ht="12.5">
      <c r="C151" s="496">
        <f>IF(D94="","-",+C150+1)</f>
        <v>2067</v>
      </c>
      <c r="D151" s="350">
        <f>IF(F150+SUM(E$100:E150)=D$93,F150,D$93-SUM(E$100:E150))</f>
        <v>0</v>
      </c>
      <c r="E151" s="510">
        <f>IF(+J97&lt;F150,J97,D151)</f>
        <v>0</v>
      </c>
      <c r="F151" s="511">
        <f t="shared" si="15"/>
        <v>0</v>
      </c>
      <c r="G151" s="511">
        <f t="shared" si="16"/>
        <v>0</v>
      </c>
      <c r="H151" s="646">
        <f t="shared" si="14"/>
        <v>0</v>
      </c>
      <c r="I151" s="628">
        <f t="shared" si="13"/>
        <v>0</v>
      </c>
      <c r="J151" s="505">
        <f t="shared" si="17"/>
        <v>0</v>
      </c>
      <c r="K151" s="505"/>
      <c r="L151" s="513"/>
      <c r="M151" s="505">
        <f t="shared" si="18"/>
        <v>0</v>
      </c>
      <c r="N151" s="513"/>
      <c r="O151" s="505">
        <f t="shared" si="19"/>
        <v>0</v>
      </c>
      <c r="P151" s="505">
        <f t="shared" si="20"/>
        <v>0</v>
      </c>
      <c r="Q151" s="244"/>
      <c r="R151" s="244"/>
      <c r="S151" s="244"/>
      <c r="T151" s="244"/>
      <c r="U151" s="244"/>
    </row>
    <row r="152" spans="3:21" ht="12.5">
      <c r="C152" s="496">
        <f>IF(D94="","-",+C151+1)</f>
        <v>2068</v>
      </c>
      <c r="D152" s="350">
        <f>IF(F151+SUM(E$100:E151)=D$93,F151,D$93-SUM(E$100:E151))</f>
        <v>0</v>
      </c>
      <c r="E152" s="510">
        <f>IF(+J97&lt;F151,J97,D152)</f>
        <v>0</v>
      </c>
      <c r="F152" s="511">
        <f t="shared" si="15"/>
        <v>0</v>
      </c>
      <c r="G152" s="511">
        <f t="shared" si="16"/>
        <v>0</v>
      </c>
      <c r="H152" s="646">
        <f t="shared" si="14"/>
        <v>0</v>
      </c>
      <c r="I152" s="628">
        <f t="shared" si="13"/>
        <v>0</v>
      </c>
      <c r="J152" s="505">
        <f t="shared" si="17"/>
        <v>0</v>
      </c>
      <c r="K152" s="505"/>
      <c r="L152" s="513"/>
      <c r="M152" s="505">
        <f t="shared" si="18"/>
        <v>0</v>
      </c>
      <c r="N152" s="513"/>
      <c r="O152" s="505">
        <f t="shared" si="19"/>
        <v>0</v>
      </c>
      <c r="P152" s="505">
        <f t="shared" si="20"/>
        <v>0</v>
      </c>
      <c r="Q152" s="244"/>
      <c r="R152" s="244"/>
      <c r="S152" s="244"/>
      <c r="T152" s="244"/>
      <c r="U152" s="244"/>
    </row>
    <row r="153" spans="3:21" ht="12.5">
      <c r="C153" s="496">
        <f>IF(D94="","-",+C152+1)</f>
        <v>2069</v>
      </c>
      <c r="D153" s="350">
        <f>IF(F152+SUM(E$100:E152)=D$93,F152,D$93-SUM(E$100:E152))</f>
        <v>0</v>
      </c>
      <c r="E153" s="510">
        <f>IF(+J97&lt;F152,J97,D153)</f>
        <v>0</v>
      </c>
      <c r="F153" s="511">
        <f t="shared" si="15"/>
        <v>0</v>
      </c>
      <c r="G153" s="511">
        <f t="shared" si="16"/>
        <v>0</v>
      </c>
      <c r="H153" s="646">
        <f t="shared" si="14"/>
        <v>0</v>
      </c>
      <c r="I153" s="628">
        <f t="shared" si="13"/>
        <v>0</v>
      </c>
      <c r="J153" s="505">
        <f t="shared" si="17"/>
        <v>0</v>
      </c>
      <c r="K153" s="505"/>
      <c r="L153" s="513"/>
      <c r="M153" s="505">
        <f t="shared" si="18"/>
        <v>0</v>
      </c>
      <c r="N153" s="513"/>
      <c r="O153" s="505">
        <f t="shared" si="19"/>
        <v>0</v>
      </c>
      <c r="P153" s="505">
        <f t="shared" si="20"/>
        <v>0</v>
      </c>
      <c r="Q153" s="244"/>
      <c r="R153" s="244"/>
      <c r="S153" s="244"/>
      <c r="T153" s="244"/>
      <c r="U153" s="244"/>
    </row>
    <row r="154" spans="3:21" ht="12.5">
      <c r="C154" s="496">
        <f>IF(D94="","-",+C153+1)</f>
        <v>2070</v>
      </c>
      <c r="D154" s="350">
        <f>IF(F153+SUM(E$100:E153)=D$93,F153,D$93-SUM(E$100:E153))</f>
        <v>0</v>
      </c>
      <c r="E154" s="510">
        <f>IF(+J97&lt;F153,J97,D154)</f>
        <v>0</v>
      </c>
      <c r="F154" s="511">
        <f t="shared" si="15"/>
        <v>0</v>
      </c>
      <c r="G154" s="511">
        <f t="shared" si="16"/>
        <v>0</v>
      </c>
      <c r="H154" s="646">
        <f t="shared" si="14"/>
        <v>0</v>
      </c>
      <c r="I154" s="628">
        <f t="shared" si="13"/>
        <v>0</v>
      </c>
      <c r="J154" s="505">
        <f t="shared" si="17"/>
        <v>0</v>
      </c>
      <c r="K154" s="505"/>
      <c r="L154" s="513"/>
      <c r="M154" s="505">
        <f t="shared" si="18"/>
        <v>0</v>
      </c>
      <c r="N154" s="513"/>
      <c r="O154" s="505">
        <f t="shared" si="19"/>
        <v>0</v>
      </c>
      <c r="P154" s="505">
        <f t="shared" si="20"/>
        <v>0</v>
      </c>
      <c r="Q154" s="244"/>
      <c r="R154" s="244"/>
      <c r="S154" s="244"/>
      <c r="T154" s="244"/>
      <c r="U154" s="244"/>
    </row>
    <row r="155" spans="3:21" ht="13" thickBot="1">
      <c r="C155" s="525">
        <f>IF(D94="","-",+C154+1)</f>
        <v>2071</v>
      </c>
      <c r="D155" s="636">
        <f>IF(F154+SUM(E$100:E154)=D$93,F154,D$93-SUM(E$100:E154))</f>
        <v>0</v>
      </c>
      <c r="E155" s="527">
        <f>IF(+J97&lt;F154,J97,D155)</f>
        <v>0</v>
      </c>
      <c r="F155" s="528">
        <f t="shared" si="15"/>
        <v>0</v>
      </c>
      <c r="G155" s="528">
        <f t="shared" si="16"/>
        <v>0</v>
      </c>
      <c r="H155" s="646">
        <f t="shared" si="14"/>
        <v>0</v>
      </c>
      <c r="I155" s="624">
        <f t="shared" si="13"/>
        <v>0</v>
      </c>
      <c r="J155" s="532">
        <f t="shared" si="17"/>
        <v>0</v>
      </c>
      <c r="K155" s="505"/>
      <c r="L155" s="531"/>
      <c r="M155" s="532">
        <f t="shared" si="18"/>
        <v>0</v>
      </c>
      <c r="N155" s="531"/>
      <c r="O155" s="532">
        <f t="shared" si="19"/>
        <v>0</v>
      </c>
      <c r="P155" s="532">
        <f t="shared" si="20"/>
        <v>0</v>
      </c>
      <c r="Q155" s="244"/>
      <c r="R155" s="244"/>
      <c r="S155" s="244"/>
      <c r="T155" s="244"/>
      <c r="U155" s="244"/>
    </row>
    <row r="156" spans="3:21" ht="12.5">
      <c r="C156" s="350" t="s">
        <v>75</v>
      </c>
      <c r="D156" s="295"/>
      <c r="E156" s="295">
        <f>SUM(E100:E155)</f>
        <v>68247468.999999985</v>
      </c>
      <c r="F156" s="295"/>
      <c r="G156" s="295"/>
      <c r="H156" s="295">
        <f>SUM(H100:H155)</f>
        <v>172785751.71507406</v>
      </c>
      <c r="I156" s="295">
        <f>SUM(I100:I155)</f>
        <v>172785751.71507406</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24" priority="1" stopIfTrue="1" operator="equal">
      <formula>$I$10</formula>
    </cfRule>
  </conditionalFormatting>
  <conditionalFormatting sqref="C100:C155">
    <cfRule type="cellIs" dxfId="23"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U163"/>
  <sheetViews>
    <sheetView tabSelected="1" view="pageBreakPreview" zoomScale="85" zoomScaleNormal="10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15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1401378.1525541013</v>
      </c>
      <c r="P5" s="244"/>
      <c r="R5" s="244"/>
      <c r="S5" s="244"/>
      <c r="T5" s="244"/>
      <c r="U5" s="244"/>
    </row>
    <row r="6" spans="1:21" ht="15.5">
      <c r="C6" s="236"/>
      <c r="D6" s="293"/>
      <c r="E6" s="244"/>
      <c r="F6" s="244"/>
      <c r="G6" s="244"/>
      <c r="H6" s="450"/>
      <c r="I6" s="450"/>
      <c r="J6" s="451"/>
      <c r="K6" s="452" t="s">
        <v>243</v>
      </c>
      <c r="L6" s="453"/>
      <c r="M6" s="279"/>
      <c r="N6" s="454">
        <f>VLOOKUP(I10,C17:I73,6)</f>
        <v>1401378.1525541013</v>
      </c>
      <c r="O6" s="244"/>
      <c r="P6" s="244"/>
      <c r="R6" s="244"/>
      <c r="S6" s="244"/>
      <c r="T6" s="244"/>
      <c r="U6" s="244"/>
    </row>
    <row r="7" spans="1:21" ht="13.5" thickBot="1">
      <c r="C7" s="455" t="s">
        <v>46</v>
      </c>
      <c r="D7" s="456" t="s">
        <v>244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v>30619</v>
      </c>
      <c r="E9" s="466"/>
      <c r="F9" s="466"/>
      <c r="G9" s="466"/>
      <c r="H9" s="466"/>
      <c r="I9" s="467"/>
      <c r="J9" s="468"/>
      <c r="O9" s="469"/>
      <c r="P9" s="279"/>
      <c r="R9" s="244"/>
      <c r="S9" s="244"/>
      <c r="T9" s="244"/>
      <c r="U9" s="244"/>
    </row>
    <row r="10" spans="1:21" ht="13">
      <c r="C10" s="470" t="s">
        <v>49</v>
      </c>
      <c r="D10" s="471">
        <v>11056565</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2017</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325193.0882352941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581">
        <f>IF(D11= "","-",D11)</f>
        <v>2017</v>
      </c>
      <c r="D17" s="613">
        <v>0</v>
      </c>
      <c r="E17" s="621">
        <v>104355.95770200831</v>
      </c>
      <c r="F17" s="613">
        <v>10510644.042297991</v>
      </c>
      <c r="G17" s="621">
        <v>682125.91542676068</v>
      </c>
      <c r="H17" s="618">
        <v>682125.91542676068</v>
      </c>
      <c r="I17" s="501">
        <f>H17-G17</f>
        <v>0</v>
      </c>
      <c r="J17" s="501"/>
      <c r="K17" s="507">
        <f>+G17</f>
        <v>682125.91542676068</v>
      </c>
      <c r="L17" s="505">
        <f>IF(K17&lt;&gt;0,+G17-K17,0)</f>
        <v>0</v>
      </c>
      <c r="M17" s="507">
        <f>+H17</f>
        <v>682125.91542676068</v>
      </c>
      <c r="N17" s="587">
        <f t="shared" ref="N17:N73" si="1">IF(M17&lt;&gt;0,+H17-M17,0)</f>
        <v>0</v>
      </c>
      <c r="O17" s="505">
        <f t="shared" ref="O17:O73" si="2">+N17-L17</f>
        <v>0</v>
      </c>
      <c r="P17" s="279"/>
      <c r="R17" s="244"/>
      <c r="S17" s="244"/>
      <c r="T17" s="244"/>
      <c r="U17" s="244"/>
    </row>
    <row r="18" spans="2:21" ht="12.5">
      <c r="B18" s="145" t="str">
        <f t="shared" si="0"/>
        <v/>
      </c>
      <c r="C18" s="496">
        <f>IF(D11="","-",+C17+1)</f>
        <v>2018</v>
      </c>
      <c r="D18" s="615">
        <v>10510644.042297991</v>
      </c>
      <c r="E18" s="614">
        <v>260328.43725382842</v>
      </c>
      <c r="F18" s="615">
        <v>10250315.605044162</v>
      </c>
      <c r="G18" s="614">
        <v>1479941.6722122387</v>
      </c>
      <c r="H18" s="618">
        <v>1479941.6722122387</v>
      </c>
      <c r="I18" s="501">
        <f>H18-G18</f>
        <v>0</v>
      </c>
      <c r="J18" s="501"/>
      <c r="K18" s="593">
        <f>+G18</f>
        <v>1479941.6722122387</v>
      </c>
      <c r="L18" s="597">
        <f>IF(K18&lt;&gt;0,+G18-K18,0)</f>
        <v>0</v>
      </c>
      <c r="M18" s="593">
        <f>+H18</f>
        <v>1479941.6722122387</v>
      </c>
      <c r="N18" s="505">
        <f>IF(M18&lt;&gt;0,+H18-M18,0)</f>
        <v>0</v>
      </c>
      <c r="O18" s="505">
        <f>+N18-L18</f>
        <v>0</v>
      </c>
      <c r="P18" s="279"/>
      <c r="R18" s="244"/>
      <c r="S18" s="244"/>
      <c r="T18" s="244"/>
      <c r="U18" s="244"/>
    </row>
    <row r="19" spans="2:21" ht="12.5">
      <c r="B19" s="145" t="str">
        <f t="shared" si="0"/>
        <v/>
      </c>
      <c r="C19" s="496">
        <f>IF(D11="","-",+C18+1)</f>
        <v>2019</v>
      </c>
      <c r="D19" s="615">
        <v>10250315.605044162</v>
      </c>
      <c r="E19" s="614">
        <v>260328.43725382842</v>
      </c>
      <c r="F19" s="615">
        <v>9989987.1677903328</v>
      </c>
      <c r="G19" s="614">
        <v>1449355.4167689402</v>
      </c>
      <c r="H19" s="618">
        <v>1449355.4167689402</v>
      </c>
      <c r="I19" s="501">
        <f>H19-G19</f>
        <v>0</v>
      </c>
      <c r="J19" s="501"/>
      <c r="K19" s="593">
        <f>+G19</f>
        <v>1449355.4167689402</v>
      </c>
      <c r="L19" s="597">
        <f>IF(K19&lt;&gt;0,+G19-K19,0)</f>
        <v>0</v>
      </c>
      <c r="M19" s="593">
        <f>+H19</f>
        <v>1449355.4167689402</v>
      </c>
      <c r="N19" s="505">
        <f>IF(M19&lt;&gt;0,+H19-M19,0)</f>
        <v>0</v>
      </c>
      <c r="O19" s="505">
        <f>+N19-L19</f>
        <v>0</v>
      </c>
      <c r="P19" s="279"/>
      <c r="R19" s="244"/>
      <c r="S19" s="244"/>
      <c r="T19" s="244"/>
      <c r="U19" s="244"/>
    </row>
    <row r="20" spans="2:21" ht="12.5">
      <c r="B20" s="145" t="str">
        <f t="shared" si="0"/>
        <v>IU</v>
      </c>
      <c r="C20" s="496">
        <f>IF(D11="","-",+C19+1)</f>
        <v>2020</v>
      </c>
      <c r="D20" s="615">
        <v>10431552.167790335</v>
      </c>
      <c r="E20" s="614">
        <v>323755.90908112278</v>
      </c>
      <c r="F20" s="615">
        <v>10107796.258709213</v>
      </c>
      <c r="G20" s="614">
        <v>1401378.1525541013</v>
      </c>
      <c r="H20" s="618">
        <v>1401378.1525541013</v>
      </c>
      <c r="I20" s="501">
        <f>H20-G20</f>
        <v>0</v>
      </c>
      <c r="J20" s="501"/>
      <c r="K20" s="593">
        <f>+G20</f>
        <v>1401378.1525541013</v>
      </c>
      <c r="L20" s="597">
        <f>IF(K20&lt;&gt;0,+G20-K20,0)</f>
        <v>0</v>
      </c>
      <c r="M20" s="593">
        <f>+H20</f>
        <v>1401378.1525541013</v>
      </c>
      <c r="N20" s="505">
        <f t="shared" si="1"/>
        <v>0</v>
      </c>
      <c r="O20" s="505">
        <f t="shared" si="2"/>
        <v>0</v>
      </c>
      <c r="P20" s="279"/>
      <c r="R20" s="244"/>
      <c r="S20" s="244"/>
      <c r="T20" s="244"/>
      <c r="U20" s="244"/>
    </row>
    <row r="21" spans="2:21" ht="12.5">
      <c r="B21" s="145" t="str">
        <f t="shared" si="0"/>
        <v/>
      </c>
      <c r="C21" s="496">
        <f>IF(D12="","-",+C20+1)</f>
        <v>2021</v>
      </c>
      <c r="D21" s="509">
        <f>IF(F20+SUM(E$17:E20)=D$10,F20,D$10-SUM(E$17:E20))</f>
        <v>10107796.258709213</v>
      </c>
      <c r="E21" s="510">
        <f t="shared" ref="E21:E40" si="3">IF(+I$14&lt;F20,I$14,D21)</f>
        <v>325193.0882352941</v>
      </c>
      <c r="F21" s="511">
        <f t="shared" ref="F21:F73" si="4">+D21-E21</f>
        <v>9782603.1704739183</v>
      </c>
      <c r="G21" s="512">
        <f>(D21+F21)/2*I$12+E21</f>
        <v>1383532.8857026477</v>
      </c>
      <c r="H21" s="478">
        <f t="shared" ref="H21:H73" si="5">+(D21+F21)/2*I$13+E21</f>
        <v>1383532.8857026477</v>
      </c>
      <c r="I21" s="501">
        <f t="shared" ref="I21:I73" si="6">H21-G21</f>
        <v>0</v>
      </c>
      <c r="J21" s="501"/>
      <c r="K21" s="513"/>
      <c r="L21" s="505">
        <f t="shared" ref="L21:L73" si="7">IF(K21&lt;&gt;0,+G21-K21,0)</f>
        <v>0</v>
      </c>
      <c r="M21" s="513"/>
      <c r="N21" s="505">
        <f t="shared" si="1"/>
        <v>0</v>
      </c>
      <c r="O21" s="505">
        <f t="shared" si="2"/>
        <v>0</v>
      </c>
      <c r="P21" s="279"/>
      <c r="R21" s="244"/>
      <c r="S21" s="244"/>
      <c r="T21" s="244"/>
      <c r="U21" s="244"/>
    </row>
    <row r="22" spans="2:21" ht="12.5">
      <c r="B22" s="145" t="str">
        <f t="shared" si="0"/>
        <v/>
      </c>
      <c r="C22" s="496">
        <f>IF(D11="","-",+C21+1)</f>
        <v>2022</v>
      </c>
      <c r="D22" s="509">
        <f>IF(F21+SUM(E$17:E21)=D$10,F21,D$10-SUM(E$17:E21))</f>
        <v>9782603.1704739183</v>
      </c>
      <c r="E22" s="510">
        <f t="shared" si="3"/>
        <v>325193.0882352941</v>
      </c>
      <c r="F22" s="511">
        <f t="shared" si="4"/>
        <v>9457410.0822386239</v>
      </c>
      <c r="G22" s="512">
        <f t="shared" ref="G22:G73" si="8">(D22+F22)/2*I$12+E22</f>
        <v>1348926.7644564582</v>
      </c>
      <c r="H22" s="478">
        <f t="shared" si="5"/>
        <v>1348926.7644564582</v>
      </c>
      <c r="I22" s="501">
        <f t="shared" si="6"/>
        <v>0</v>
      </c>
      <c r="J22" s="501"/>
      <c r="K22" s="513"/>
      <c r="L22" s="505">
        <f t="shared" si="7"/>
        <v>0</v>
      </c>
      <c r="M22" s="513"/>
      <c r="N22" s="505">
        <f t="shared" si="1"/>
        <v>0</v>
      </c>
      <c r="O22" s="505">
        <f t="shared" si="2"/>
        <v>0</v>
      </c>
      <c r="P22" s="279"/>
      <c r="R22" s="244"/>
      <c r="S22" s="244"/>
      <c r="T22" s="244"/>
      <c r="U22" s="244"/>
    </row>
    <row r="23" spans="2:21" ht="12.5">
      <c r="B23" s="145" t="str">
        <f t="shared" si="0"/>
        <v/>
      </c>
      <c r="C23" s="496">
        <f>IF(D11="","-",+C22+1)</f>
        <v>2023</v>
      </c>
      <c r="D23" s="509">
        <f>IF(F22+SUM(E$17:E22)=D$10,F22,D$10-SUM(E$17:E22))</f>
        <v>9457410.0822386239</v>
      </c>
      <c r="E23" s="510">
        <f t="shared" si="3"/>
        <v>325193.0882352941</v>
      </c>
      <c r="F23" s="511">
        <f t="shared" si="4"/>
        <v>9132216.9940033294</v>
      </c>
      <c r="G23" s="512">
        <f t="shared" si="8"/>
        <v>1314320.6432102688</v>
      </c>
      <c r="H23" s="478">
        <f t="shared" si="5"/>
        <v>1314320.6432102688</v>
      </c>
      <c r="I23" s="501">
        <f t="shared" si="6"/>
        <v>0</v>
      </c>
      <c r="J23" s="501"/>
      <c r="K23" s="513"/>
      <c r="L23" s="505">
        <f t="shared" si="7"/>
        <v>0</v>
      </c>
      <c r="M23" s="513"/>
      <c r="N23" s="505">
        <f t="shared" si="1"/>
        <v>0</v>
      </c>
      <c r="O23" s="505">
        <f t="shared" si="2"/>
        <v>0</v>
      </c>
      <c r="P23" s="279"/>
      <c r="R23" s="244"/>
      <c r="S23" s="244"/>
      <c r="T23" s="244"/>
      <c r="U23" s="244"/>
    </row>
    <row r="24" spans="2:21" ht="12.5">
      <c r="B24" s="145" t="str">
        <f t="shared" si="0"/>
        <v/>
      </c>
      <c r="C24" s="496">
        <f>IF(D11="","-",+C23+1)</f>
        <v>2024</v>
      </c>
      <c r="D24" s="509">
        <f>IF(F23+SUM(E$17:E23)=D$10,F23,D$10-SUM(E$17:E23))</f>
        <v>9132216.9940033294</v>
      </c>
      <c r="E24" s="510">
        <f t="shared" si="3"/>
        <v>325193.0882352941</v>
      </c>
      <c r="F24" s="511">
        <f t="shared" si="4"/>
        <v>8807023.905768035</v>
      </c>
      <c r="G24" s="512">
        <f t="shared" si="8"/>
        <v>1279714.5219640792</v>
      </c>
      <c r="H24" s="478">
        <f t="shared" si="5"/>
        <v>1279714.5219640792</v>
      </c>
      <c r="I24" s="501">
        <f t="shared" si="6"/>
        <v>0</v>
      </c>
      <c r="J24" s="501"/>
      <c r="K24" s="513"/>
      <c r="L24" s="505">
        <f t="shared" si="7"/>
        <v>0</v>
      </c>
      <c r="M24" s="513"/>
      <c r="N24" s="505">
        <f t="shared" si="1"/>
        <v>0</v>
      </c>
      <c r="O24" s="505">
        <f t="shared" si="2"/>
        <v>0</v>
      </c>
      <c r="P24" s="279"/>
      <c r="R24" s="244"/>
      <c r="S24" s="244"/>
      <c r="T24" s="244"/>
      <c r="U24" s="244"/>
    </row>
    <row r="25" spans="2:21" ht="12.5">
      <c r="B25" s="145" t="str">
        <f t="shared" si="0"/>
        <v/>
      </c>
      <c r="C25" s="496">
        <f>IF(D11="","-",+C24+1)</f>
        <v>2025</v>
      </c>
      <c r="D25" s="509">
        <f>IF(F24+SUM(E$17:E24)=D$10,F24,D$10-SUM(E$17:E24))</f>
        <v>8807023.905768035</v>
      </c>
      <c r="E25" s="510">
        <f t="shared" si="3"/>
        <v>325193.0882352941</v>
      </c>
      <c r="F25" s="511">
        <f t="shared" si="4"/>
        <v>8481830.8175327405</v>
      </c>
      <c r="G25" s="512">
        <f t="shared" si="8"/>
        <v>1245108.4007178899</v>
      </c>
      <c r="H25" s="478">
        <f t="shared" si="5"/>
        <v>1245108.4007178899</v>
      </c>
      <c r="I25" s="501">
        <f t="shared" si="6"/>
        <v>0</v>
      </c>
      <c r="J25" s="501"/>
      <c r="K25" s="513"/>
      <c r="L25" s="505">
        <f t="shared" si="7"/>
        <v>0</v>
      </c>
      <c r="M25" s="513"/>
      <c r="N25" s="505">
        <f t="shared" si="1"/>
        <v>0</v>
      </c>
      <c r="O25" s="505">
        <f t="shared" si="2"/>
        <v>0</v>
      </c>
      <c r="P25" s="279"/>
      <c r="R25" s="244"/>
      <c r="S25" s="244"/>
      <c r="T25" s="244"/>
      <c r="U25" s="244"/>
    </row>
    <row r="26" spans="2:21" ht="12.5">
      <c r="B26" s="145" t="str">
        <f t="shared" si="0"/>
        <v/>
      </c>
      <c r="C26" s="496">
        <f>IF(D11="","-",+C25+1)</f>
        <v>2026</v>
      </c>
      <c r="D26" s="509">
        <f>IF(F25+SUM(E$17:E25)=D$10,F25,D$10-SUM(E$17:E25))</f>
        <v>8481830.8175327405</v>
      </c>
      <c r="E26" s="510">
        <f t="shared" si="3"/>
        <v>325193.0882352941</v>
      </c>
      <c r="F26" s="511">
        <f t="shared" si="4"/>
        <v>8156637.7292974461</v>
      </c>
      <c r="G26" s="512">
        <f t="shared" si="8"/>
        <v>1210502.2794717003</v>
      </c>
      <c r="H26" s="478">
        <f t="shared" si="5"/>
        <v>1210502.2794717003</v>
      </c>
      <c r="I26" s="501">
        <f t="shared" si="6"/>
        <v>0</v>
      </c>
      <c r="J26" s="501"/>
      <c r="K26" s="513"/>
      <c r="L26" s="505">
        <f t="shared" si="7"/>
        <v>0</v>
      </c>
      <c r="M26" s="513"/>
      <c r="N26" s="505">
        <f t="shared" si="1"/>
        <v>0</v>
      </c>
      <c r="O26" s="505">
        <f t="shared" si="2"/>
        <v>0</v>
      </c>
      <c r="P26" s="279"/>
      <c r="R26" s="244"/>
      <c r="S26" s="244"/>
      <c r="T26" s="244"/>
      <c r="U26" s="244"/>
    </row>
    <row r="27" spans="2:21" ht="12.5">
      <c r="B27" s="145" t="str">
        <f t="shared" si="0"/>
        <v/>
      </c>
      <c r="C27" s="496">
        <f>IF(D11="","-",+C26+1)</f>
        <v>2027</v>
      </c>
      <c r="D27" s="509">
        <f>IF(F26+SUM(E$17:E26)=D$10,F26,D$10-SUM(E$17:E26))</f>
        <v>8156637.7292974461</v>
      </c>
      <c r="E27" s="510">
        <f t="shared" si="3"/>
        <v>325193.0882352941</v>
      </c>
      <c r="F27" s="511">
        <f t="shared" si="4"/>
        <v>7831444.6410621516</v>
      </c>
      <c r="G27" s="512">
        <f t="shared" si="8"/>
        <v>1175896.1582255107</v>
      </c>
      <c r="H27" s="478">
        <f t="shared" si="5"/>
        <v>1175896.1582255107</v>
      </c>
      <c r="I27" s="501">
        <f t="shared" si="6"/>
        <v>0</v>
      </c>
      <c r="J27" s="501"/>
      <c r="K27" s="513"/>
      <c r="L27" s="505">
        <f t="shared" si="7"/>
        <v>0</v>
      </c>
      <c r="M27" s="513"/>
      <c r="N27" s="505">
        <f t="shared" si="1"/>
        <v>0</v>
      </c>
      <c r="O27" s="505">
        <f t="shared" si="2"/>
        <v>0</v>
      </c>
      <c r="P27" s="279"/>
      <c r="R27" s="244"/>
      <c r="S27" s="244"/>
      <c r="T27" s="244"/>
      <c r="U27" s="244"/>
    </row>
    <row r="28" spans="2:21" ht="12.5">
      <c r="B28" s="145" t="str">
        <f t="shared" si="0"/>
        <v/>
      </c>
      <c r="C28" s="496">
        <f>IF(D11="","-",+C27+1)</f>
        <v>2028</v>
      </c>
      <c r="D28" s="509">
        <f>IF(F27+SUM(E$17:E27)=D$10,F27,D$10-SUM(E$17:E27))</f>
        <v>7831444.6410621516</v>
      </c>
      <c r="E28" s="510">
        <f t="shared" si="3"/>
        <v>325193.0882352941</v>
      </c>
      <c r="F28" s="511">
        <f t="shared" si="4"/>
        <v>7506251.5528268572</v>
      </c>
      <c r="G28" s="512">
        <f t="shared" si="8"/>
        <v>1141290.0369793214</v>
      </c>
      <c r="H28" s="478">
        <f t="shared" si="5"/>
        <v>1141290.0369793214</v>
      </c>
      <c r="I28" s="501">
        <f t="shared" si="6"/>
        <v>0</v>
      </c>
      <c r="J28" s="501"/>
      <c r="K28" s="513"/>
      <c r="L28" s="505">
        <f t="shared" si="7"/>
        <v>0</v>
      </c>
      <c r="M28" s="513"/>
      <c r="N28" s="505">
        <f t="shared" si="1"/>
        <v>0</v>
      </c>
      <c r="O28" s="505">
        <f t="shared" si="2"/>
        <v>0</v>
      </c>
      <c r="P28" s="279"/>
      <c r="R28" s="244"/>
      <c r="S28" s="244"/>
      <c r="T28" s="244"/>
      <c r="U28" s="244"/>
    </row>
    <row r="29" spans="2:21" ht="12.5">
      <c r="B29" s="145" t="str">
        <f t="shared" si="0"/>
        <v/>
      </c>
      <c r="C29" s="496">
        <f>IF(D11="","-",+C28+1)</f>
        <v>2029</v>
      </c>
      <c r="D29" s="509">
        <f>IF(F28+SUM(E$17:E28)=D$10,F28,D$10-SUM(E$17:E28))</f>
        <v>7506251.5528268572</v>
      </c>
      <c r="E29" s="510">
        <f t="shared" si="3"/>
        <v>325193.0882352941</v>
      </c>
      <c r="F29" s="511">
        <f t="shared" si="4"/>
        <v>7181058.4645915627</v>
      </c>
      <c r="G29" s="512">
        <f t="shared" si="8"/>
        <v>1106683.9157331318</v>
      </c>
      <c r="H29" s="478">
        <f t="shared" si="5"/>
        <v>1106683.9157331318</v>
      </c>
      <c r="I29" s="501">
        <f t="shared" si="6"/>
        <v>0</v>
      </c>
      <c r="J29" s="501"/>
      <c r="K29" s="513"/>
      <c r="L29" s="505">
        <f t="shared" si="7"/>
        <v>0</v>
      </c>
      <c r="M29" s="513"/>
      <c r="N29" s="505">
        <f t="shared" si="1"/>
        <v>0</v>
      </c>
      <c r="O29" s="505">
        <f t="shared" si="2"/>
        <v>0</v>
      </c>
      <c r="P29" s="279"/>
      <c r="R29" s="244"/>
      <c r="S29" s="244"/>
      <c r="T29" s="244"/>
      <c r="U29" s="244"/>
    </row>
    <row r="30" spans="2:21" ht="12.5">
      <c r="B30" s="145" t="str">
        <f t="shared" si="0"/>
        <v/>
      </c>
      <c r="C30" s="496">
        <f>IF(D11="","-",+C29+1)</f>
        <v>2030</v>
      </c>
      <c r="D30" s="509">
        <f>IF(F29+SUM(E$17:E29)=D$10,F29,D$10-SUM(E$17:E29))</f>
        <v>7181058.4645915627</v>
      </c>
      <c r="E30" s="510">
        <f t="shared" si="3"/>
        <v>325193.0882352941</v>
      </c>
      <c r="F30" s="511">
        <f t="shared" si="4"/>
        <v>6855865.3763562683</v>
      </c>
      <c r="G30" s="512">
        <f t="shared" si="8"/>
        <v>1072077.7944869422</v>
      </c>
      <c r="H30" s="478">
        <f t="shared" si="5"/>
        <v>1072077.7944869422</v>
      </c>
      <c r="I30" s="501">
        <f t="shared" si="6"/>
        <v>0</v>
      </c>
      <c r="J30" s="501"/>
      <c r="K30" s="513"/>
      <c r="L30" s="505">
        <f t="shared" si="7"/>
        <v>0</v>
      </c>
      <c r="M30" s="513"/>
      <c r="N30" s="505">
        <f t="shared" si="1"/>
        <v>0</v>
      </c>
      <c r="O30" s="505">
        <f t="shared" si="2"/>
        <v>0</v>
      </c>
      <c r="P30" s="279"/>
      <c r="R30" s="244"/>
      <c r="S30" s="244"/>
      <c r="T30" s="244"/>
      <c r="U30" s="244"/>
    </row>
    <row r="31" spans="2:21" ht="12.5">
      <c r="B31" s="145" t="str">
        <f t="shared" si="0"/>
        <v/>
      </c>
      <c r="C31" s="496">
        <f>IF(D11="","-",+C30+1)</f>
        <v>2031</v>
      </c>
      <c r="D31" s="509">
        <f>IF(F30+SUM(E$17:E30)=D$10,F30,D$10-SUM(E$17:E30))</f>
        <v>6855865.3763562683</v>
      </c>
      <c r="E31" s="510">
        <f t="shared" si="3"/>
        <v>325193.0882352941</v>
      </c>
      <c r="F31" s="511">
        <f t="shared" si="4"/>
        <v>6530672.2881209739</v>
      </c>
      <c r="G31" s="512">
        <f t="shared" si="8"/>
        <v>1037471.6732407529</v>
      </c>
      <c r="H31" s="478">
        <f t="shared" si="5"/>
        <v>1037471.6732407529</v>
      </c>
      <c r="I31" s="501">
        <f t="shared" si="6"/>
        <v>0</v>
      </c>
      <c r="J31" s="501"/>
      <c r="K31" s="513"/>
      <c r="L31" s="505">
        <f t="shared" si="7"/>
        <v>0</v>
      </c>
      <c r="M31" s="513"/>
      <c r="N31" s="505">
        <f t="shared" si="1"/>
        <v>0</v>
      </c>
      <c r="O31" s="505">
        <f t="shared" si="2"/>
        <v>0</v>
      </c>
      <c r="P31" s="279"/>
      <c r="Q31" s="221"/>
      <c r="R31" s="279"/>
      <c r="S31" s="279"/>
      <c r="T31" s="279"/>
      <c r="U31" s="244"/>
    </row>
    <row r="32" spans="2:21" ht="12.5">
      <c r="B32" s="145" t="str">
        <f t="shared" si="0"/>
        <v/>
      </c>
      <c r="C32" s="496">
        <f>IF(D12="","-",+C31+1)</f>
        <v>2032</v>
      </c>
      <c r="D32" s="509">
        <f>IF(F31+SUM(E$17:E31)=D$10,F31,D$10-SUM(E$17:E31))</f>
        <v>6530672.2881209739</v>
      </c>
      <c r="E32" s="510">
        <f t="shared" si="3"/>
        <v>325193.0882352941</v>
      </c>
      <c r="F32" s="511">
        <f>+D32-E32</f>
        <v>6205479.1998856794</v>
      </c>
      <c r="G32" s="512">
        <f t="shared" si="8"/>
        <v>1002865.5519945633</v>
      </c>
      <c r="H32" s="478">
        <f t="shared" si="5"/>
        <v>1002865.5519945633</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2033</v>
      </c>
      <c r="D33" s="509">
        <f>IF(F32+SUM(E$17:E32)=D$10,F32,D$10-SUM(E$17:E32))</f>
        <v>6205479.1998856794</v>
      </c>
      <c r="E33" s="510">
        <f t="shared" si="3"/>
        <v>325193.0882352941</v>
      </c>
      <c r="F33" s="511">
        <f>+D33-E33</f>
        <v>5880286.111650385</v>
      </c>
      <c r="G33" s="512">
        <f t="shared" si="8"/>
        <v>968259.43074837385</v>
      </c>
      <c r="H33" s="478">
        <f t="shared" si="5"/>
        <v>968259.43074837385</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2034</v>
      </c>
      <c r="D34" s="515">
        <f>IF(F33+SUM(E$17:E33)=D$10,F33,D$10-SUM(E$17:E33))</f>
        <v>5880286.111650385</v>
      </c>
      <c r="E34" s="516">
        <f t="shared" si="3"/>
        <v>325193.0882352941</v>
      </c>
      <c r="F34" s="517">
        <f t="shared" si="4"/>
        <v>5555093.0234150905</v>
      </c>
      <c r="G34" s="512">
        <f t="shared" si="8"/>
        <v>933653.30950218439</v>
      </c>
      <c r="H34" s="478">
        <f t="shared" si="5"/>
        <v>933653.30950218439</v>
      </c>
      <c r="I34" s="520">
        <f t="shared" si="6"/>
        <v>0</v>
      </c>
      <c r="J34" s="520"/>
      <c r="K34" s="521"/>
      <c r="L34" s="522">
        <f t="shared" si="7"/>
        <v>0</v>
      </c>
      <c r="M34" s="521"/>
      <c r="N34" s="522">
        <f t="shared" si="1"/>
        <v>0</v>
      </c>
      <c r="O34" s="522">
        <f t="shared" si="2"/>
        <v>0</v>
      </c>
      <c r="P34" s="523"/>
      <c r="Q34" s="217"/>
      <c r="R34" s="523"/>
      <c r="S34" s="523"/>
      <c r="T34" s="523"/>
      <c r="U34" s="244"/>
    </row>
    <row r="35" spans="2:21" ht="12.5">
      <c r="B35" s="145" t="str">
        <f t="shared" si="0"/>
        <v/>
      </c>
      <c r="C35" s="496">
        <f>IF(D11="","-",+C34+1)</f>
        <v>2035</v>
      </c>
      <c r="D35" s="509">
        <f>IF(F34+SUM(E$17:E34)=D$10,F34,D$10-SUM(E$17:E34))</f>
        <v>5555093.0234150905</v>
      </c>
      <c r="E35" s="510">
        <f t="shared" si="3"/>
        <v>325193.0882352941</v>
      </c>
      <c r="F35" s="511">
        <f t="shared" si="4"/>
        <v>5229899.9351797961</v>
      </c>
      <c r="G35" s="512">
        <f t="shared" si="8"/>
        <v>899047.18825599493</v>
      </c>
      <c r="H35" s="478">
        <f t="shared" si="5"/>
        <v>899047.18825599493</v>
      </c>
      <c r="I35" s="501">
        <f t="shared" si="6"/>
        <v>0</v>
      </c>
      <c r="J35" s="501"/>
      <c r="K35" s="513"/>
      <c r="L35" s="505">
        <f t="shared" si="7"/>
        <v>0</v>
      </c>
      <c r="M35" s="513"/>
      <c r="N35" s="505">
        <f t="shared" si="1"/>
        <v>0</v>
      </c>
      <c r="O35" s="505">
        <f t="shared" si="2"/>
        <v>0</v>
      </c>
      <c r="P35" s="279"/>
      <c r="R35" s="244"/>
      <c r="S35" s="244"/>
      <c r="T35" s="244"/>
      <c r="U35" s="244"/>
    </row>
    <row r="36" spans="2:21" ht="12.5">
      <c r="B36" s="145" t="str">
        <f t="shared" si="0"/>
        <v/>
      </c>
      <c r="C36" s="496">
        <f>IF(D11="","-",+C35+1)</f>
        <v>2036</v>
      </c>
      <c r="D36" s="509">
        <f>IF(F35+SUM(E$17:E35)=D$10,F35,D$10-SUM(E$17:E35))</f>
        <v>5229899.9351797961</v>
      </c>
      <c r="E36" s="510">
        <f t="shared" si="3"/>
        <v>325193.0882352941</v>
      </c>
      <c r="F36" s="511">
        <f t="shared" si="4"/>
        <v>4904706.8469445016</v>
      </c>
      <c r="G36" s="512">
        <f t="shared" si="8"/>
        <v>864441.06700980547</v>
      </c>
      <c r="H36" s="478">
        <f t="shared" si="5"/>
        <v>864441.06700980547</v>
      </c>
      <c r="I36" s="501">
        <f t="shared" si="6"/>
        <v>0</v>
      </c>
      <c r="J36" s="501"/>
      <c r="K36" s="513"/>
      <c r="L36" s="505">
        <f t="shared" si="7"/>
        <v>0</v>
      </c>
      <c r="M36" s="513"/>
      <c r="N36" s="505">
        <f t="shared" si="1"/>
        <v>0</v>
      </c>
      <c r="O36" s="505">
        <f t="shared" si="2"/>
        <v>0</v>
      </c>
      <c r="P36" s="279"/>
      <c r="R36" s="244"/>
      <c r="S36" s="244"/>
      <c r="T36" s="244"/>
      <c r="U36" s="244"/>
    </row>
    <row r="37" spans="2:21" ht="12.5">
      <c r="B37" s="145" t="str">
        <f t="shared" si="0"/>
        <v/>
      </c>
      <c r="C37" s="496">
        <f>IF(D11="","-",+C36+1)</f>
        <v>2037</v>
      </c>
      <c r="D37" s="509">
        <f>IF(F36+SUM(E$17:E36)=D$10,F36,D$10-SUM(E$17:E36))</f>
        <v>4904706.8469445016</v>
      </c>
      <c r="E37" s="510">
        <f t="shared" si="3"/>
        <v>325193.0882352941</v>
      </c>
      <c r="F37" s="511">
        <f t="shared" si="4"/>
        <v>4579513.7587092072</v>
      </c>
      <c r="G37" s="512">
        <f t="shared" si="8"/>
        <v>829834.94576361589</v>
      </c>
      <c r="H37" s="478">
        <f t="shared" si="5"/>
        <v>829834.94576361589</v>
      </c>
      <c r="I37" s="501">
        <f t="shared" si="6"/>
        <v>0</v>
      </c>
      <c r="J37" s="501"/>
      <c r="K37" s="513"/>
      <c r="L37" s="505">
        <f t="shared" si="7"/>
        <v>0</v>
      </c>
      <c r="M37" s="513"/>
      <c r="N37" s="505">
        <f t="shared" si="1"/>
        <v>0</v>
      </c>
      <c r="O37" s="505">
        <f t="shared" si="2"/>
        <v>0</v>
      </c>
      <c r="P37" s="279"/>
      <c r="R37" s="244"/>
      <c r="S37" s="244"/>
      <c r="T37" s="244"/>
      <c r="U37" s="244"/>
    </row>
    <row r="38" spans="2:21" ht="12.5">
      <c r="B38" s="145" t="str">
        <f t="shared" si="0"/>
        <v/>
      </c>
      <c r="C38" s="496">
        <f>IF(D11="","-",+C37+1)</f>
        <v>2038</v>
      </c>
      <c r="D38" s="509">
        <f>IF(F37+SUM(E$17:E37)=D$10,F37,D$10-SUM(E$17:E37))</f>
        <v>4579513.7587092072</v>
      </c>
      <c r="E38" s="510">
        <f t="shared" si="3"/>
        <v>325193.0882352941</v>
      </c>
      <c r="F38" s="511">
        <f t="shared" si="4"/>
        <v>4254320.6704739127</v>
      </c>
      <c r="G38" s="512">
        <f t="shared" si="8"/>
        <v>795228.82451742655</v>
      </c>
      <c r="H38" s="478">
        <f t="shared" si="5"/>
        <v>795228.82451742655</v>
      </c>
      <c r="I38" s="501">
        <f t="shared" si="6"/>
        <v>0</v>
      </c>
      <c r="J38" s="501"/>
      <c r="K38" s="513"/>
      <c r="L38" s="505">
        <f t="shared" si="7"/>
        <v>0</v>
      </c>
      <c r="M38" s="513"/>
      <c r="N38" s="505">
        <f t="shared" si="1"/>
        <v>0</v>
      </c>
      <c r="O38" s="505">
        <f t="shared" si="2"/>
        <v>0</v>
      </c>
      <c r="P38" s="279"/>
      <c r="R38" s="244"/>
      <c r="S38" s="244"/>
      <c r="T38" s="244"/>
      <c r="U38" s="244"/>
    </row>
    <row r="39" spans="2:21" ht="12.5">
      <c r="B39" s="145" t="str">
        <f t="shared" si="0"/>
        <v/>
      </c>
      <c r="C39" s="496">
        <f>IF(D11="","-",+C38+1)</f>
        <v>2039</v>
      </c>
      <c r="D39" s="509">
        <f>IF(F38+SUM(E$17:E38)=D$10,F38,D$10-SUM(E$17:E38))</f>
        <v>4254320.6704739127</v>
      </c>
      <c r="E39" s="510">
        <f t="shared" si="3"/>
        <v>325193.0882352941</v>
      </c>
      <c r="F39" s="511">
        <f t="shared" si="4"/>
        <v>3929127.5822386188</v>
      </c>
      <c r="G39" s="512">
        <f t="shared" si="8"/>
        <v>760622.70327123697</v>
      </c>
      <c r="H39" s="478">
        <f t="shared" si="5"/>
        <v>760622.70327123697</v>
      </c>
      <c r="I39" s="501">
        <f t="shared" si="6"/>
        <v>0</v>
      </c>
      <c r="J39" s="501"/>
      <c r="K39" s="513"/>
      <c r="L39" s="505">
        <f t="shared" si="7"/>
        <v>0</v>
      </c>
      <c r="M39" s="513"/>
      <c r="N39" s="505">
        <f t="shared" si="1"/>
        <v>0</v>
      </c>
      <c r="O39" s="505">
        <f t="shared" si="2"/>
        <v>0</v>
      </c>
      <c r="P39" s="279"/>
      <c r="R39" s="244"/>
      <c r="S39" s="244"/>
      <c r="T39" s="244"/>
      <c r="U39" s="244"/>
    </row>
    <row r="40" spans="2:21" ht="12.5">
      <c r="B40" s="145" t="str">
        <f t="shared" si="0"/>
        <v/>
      </c>
      <c r="C40" s="496">
        <f>IF(D11="","-",+C39+1)</f>
        <v>2040</v>
      </c>
      <c r="D40" s="509">
        <f>IF(F39+SUM(E$17:E39)=D$10,F39,D$10-SUM(E$17:E39))</f>
        <v>3929127.5822386188</v>
      </c>
      <c r="E40" s="510">
        <f t="shared" si="3"/>
        <v>325193.0882352941</v>
      </c>
      <c r="F40" s="511">
        <f t="shared" si="4"/>
        <v>3603934.4940033248</v>
      </c>
      <c r="G40" s="512">
        <f t="shared" si="8"/>
        <v>726016.58202504762</v>
      </c>
      <c r="H40" s="478">
        <f t="shared" si="5"/>
        <v>726016.58202504762</v>
      </c>
      <c r="I40" s="501">
        <f t="shared" si="6"/>
        <v>0</v>
      </c>
      <c r="J40" s="501"/>
      <c r="K40" s="513"/>
      <c r="L40" s="505">
        <f t="shared" si="7"/>
        <v>0</v>
      </c>
      <c r="M40" s="513"/>
      <c r="N40" s="505">
        <f t="shared" si="1"/>
        <v>0</v>
      </c>
      <c r="O40" s="505">
        <f t="shared" si="2"/>
        <v>0</v>
      </c>
      <c r="P40" s="279"/>
      <c r="R40" s="244"/>
      <c r="S40" s="244"/>
      <c r="T40" s="244"/>
      <c r="U40" s="244"/>
    </row>
    <row r="41" spans="2:21" ht="12.5">
      <c r="B41" s="145" t="str">
        <f t="shared" si="0"/>
        <v/>
      </c>
      <c r="C41" s="496">
        <f>IF(D12="","-",+C40+1)</f>
        <v>2041</v>
      </c>
      <c r="D41" s="509">
        <f>IF(F40+SUM(E$17:E40)=D$10,F40,D$10-SUM(E$17:E40))</f>
        <v>3603934.4940033248</v>
      </c>
      <c r="E41" s="510">
        <f t="shared" ref="E41:E73" si="9">IF(+I$14&lt;F40,I$14,D41)</f>
        <v>325193.0882352941</v>
      </c>
      <c r="F41" s="511">
        <f>+D41-E41</f>
        <v>3278741.4057680308</v>
      </c>
      <c r="G41" s="512">
        <f t="shared" si="8"/>
        <v>691410.46077885805</v>
      </c>
      <c r="H41" s="478">
        <f t="shared" si="5"/>
        <v>691410.46077885805</v>
      </c>
      <c r="I41" s="501">
        <f>H41-G41</f>
        <v>0</v>
      </c>
      <c r="J41" s="501"/>
      <c r="K41" s="513"/>
      <c r="L41" s="505">
        <f>IF(K41&lt;&gt;0,+G41-K41,0)</f>
        <v>0</v>
      </c>
      <c r="M41" s="513"/>
      <c r="N41" s="505">
        <f>IF(M41&lt;&gt;0,+H41-M41,0)</f>
        <v>0</v>
      </c>
      <c r="O41" s="505">
        <f>+N41-L41</f>
        <v>0</v>
      </c>
      <c r="P41" s="279"/>
      <c r="R41" s="244"/>
      <c r="S41" s="244"/>
      <c r="T41" s="244"/>
      <c r="U41" s="244"/>
    </row>
    <row r="42" spans="2:21" ht="12.5">
      <c r="B42" s="145" t="str">
        <f t="shared" si="0"/>
        <v/>
      </c>
      <c r="C42" s="496">
        <f>IF(D13="","-",+C41+1)</f>
        <v>2042</v>
      </c>
      <c r="D42" s="509">
        <f>IF(F41+SUM(E$17:E41)=D$10,F41,D$10-SUM(E$17:E41))</f>
        <v>3278741.4057680308</v>
      </c>
      <c r="E42" s="510">
        <f t="shared" si="9"/>
        <v>325193.0882352941</v>
      </c>
      <c r="F42" s="511">
        <f>+D42-E42</f>
        <v>2953548.3175327368</v>
      </c>
      <c r="G42" s="512">
        <f t="shared" si="8"/>
        <v>656804.3395326687</v>
      </c>
      <c r="H42" s="478">
        <f t="shared" si="5"/>
        <v>656804.3395326687</v>
      </c>
      <c r="I42" s="501">
        <f>H42-G42</f>
        <v>0</v>
      </c>
      <c r="J42" s="501"/>
      <c r="K42" s="513"/>
      <c r="L42" s="505">
        <f>IF(K42&lt;&gt;0,+G42-K42,0)</f>
        <v>0</v>
      </c>
      <c r="M42" s="513"/>
      <c r="N42" s="505">
        <f>IF(M42&lt;&gt;0,+H42-M42,0)</f>
        <v>0</v>
      </c>
      <c r="O42" s="505">
        <f>+N42-L42</f>
        <v>0</v>
      </c>
      <c r="P42" s="279"/>
      <c r="R42" s="244"/>
      <c r="S42" s="244"/>
      <c r="T42" s="244"/>
      <c r="U42" s="244"/>
    </row>
    <row r="43" spans="2:21" ht="12.5">
      <c r="B43" s="145" t="str">
        <f t="shared" si="0"/>
        <v/>
      </c>
      <c r="C43" s="496">
        <f>IF(D14="","-",+C42+1)</f>
        <v>2043</v>
      </c>
      <c r="D43" s="509">
        <f>IF(F42+SUM(E$17:E42)=D$10,F42,D$10-SUM(E$17:E42))</f>
        <v>2953548.3175327368</v>
      </c>
      <c r="E43" s="510">
        <f t="shared" si="9"/>
        <v>325193.0882352941</v>
      </c>
      <c r="F43" s="511">
        <f>+D43-E43</f>
        <v>2628355.2292974428</v>
      </c>
      <c r="G43" s="512">
        <f t="shared" si="8"/>
        <v>622198.21828647924</v>
      </c>
      <c r="H43" s="478">
        <f t="shared" si="5"/>
        <v>622198.21828647924</v>
      </c>
      <c r="I43" s="501">
        <f>H43-G43</f>
        <v>0</v>
      </c>
      <c r="J43" s="501"/>
      <c r="K43" s="513"/>
      <c r="L43" s="505">
        <f>IF(K43&lt;&gt;0,+G43-K43,0)</f>
        <v>0</v>
      </c>
      <c r="M43" s="513"/>
      <c r="N43" s="505">
        <f>IF(M43&lt;&gt;0,+H43-M43,0)</f>
        <v>0</v>
      </c>
      <c r="O43" s="505">
        <f>+N43-L43</f>
        <v>0</v>
      </c>
      <c r="P43" s="279"/>
      <c r="R43" s="244"/>
      <c r="S43" s="244"/>
      <c r="T43" s="244"/>
      <c r="U43" s="244"/>
    </row>
    <row r="44" spans="2:21" ht="12.5">
      <c r="B44" s="145" t="str">
        <f t="shared" si="0"/>
        <v/>
      </c>
      <c r="C44" s="496">
        <f>IF(D11="","-",+C43+1)</f>
        <v>2044</v>
      </c>
      <c r="D44" s="509">
        <f>IF(F43+SUM(E$17:E43)=D$10,F43,D$10-SUM(E$17:E43))</f>
        <v>2628355.2292974428</v>
      </c>
      <c r="E44" s="510">
        <f t="shared" si="9"/>
        <v>325193.0882352941</v>
      </c>
      <c r="F44" s="511">
        <f t="shared" si="4"/>
        <v>2303162.1410621488</v>
      </c>
      <c r="G44" s="512">
        <f t="shared" si="8"/>
        <v>587592.09704028978</v>
      </c>
      <c r="H44" s="478">
        <f t="shared" si="5"/>
        <v>587592.09704028978</v>
      </c>
      <c r="I44" s="501">
        <f t="shared" si="6"/>
        <v>0</v>
      </c>
      <c r="J44" s="501"/>
      <c r="K44" s="513"/>
      <c r="L44" s="505">
        <f t="shared" si="7"/>
        <v>0</v>
      </c>
      <c r="M44" s="513"/>
      <c r="N44" s="505">
        <f t="shared" si="1"/>
        <v>0</v>
      </c>
      <c r="O44" s="505">
        <f t="shared" si="2"/>
        <v>0</v>
      </c>
      <c r="P44" s="279"/>
      <c r="R44" s="244"/>
      <c r="S44" s="244"/>
      <c r="T44" s="244"/>
      <c r="U44" s="244"/>
    </row>
    <row r="45" spans="2:21" ht="12.5">
      <c r="B45" s="145" t="str">
        <f t="shared" si="0"/>
        <v/>
      </c>
      <c r="C45" s="496">
        <f>IF(D11="","-",+C44+1)</f>
        <v>2045</v>
      </c>
      <c r="D45" s="509">
        <f>IF(F44+SUM(E$17:E44)=D$10,F44,D$10-SUM(E$17:E44))</f>
        <v>2303162.1410621488</v>
      </c>
      <c r="E45" s="510">
        <f t="shared" si="9"/>
        <v>325193.0882352941</v>
      </c>
      <c r="F45" s="511">
        <f t="shared" si="4"/>
        <v>1977969.0528268549</v>
      </c>
      <c r="G45" s="512">
        <f t="shared" si="8"/>
        <v>552985.97579410044</v>
      </c>
      <c r="H45" s="478">
        <f t="shared" si="5"/>
        <v>552985.97579410044</v>
      </c>
      <c r="I45" s="501">
        <f t="shared" si="6"/>
        <v>0</v>
      </c>
      <c r="J45" s="501"/>
      <c r="K45" s="513"/>
      <c r="L45" s="505">
        <f t="shared" si="7"/>
        <v>0</v>
      </c>
      <c r="M45" s="513"/>
      <c r="N45" s="505">
        <f t="shared" si="1"/>
        <v>0</v>
      </c>
      <c r="O45" s="505">
        <f t="shared" si="2"/>
        <v>0</v>
      </c>
      <c r="P45" s="279"/>
      <c r="R45" s="244"/>
      <c r="S45" s="244"/>
      <c r="T45" s="244"/>
      <c r="U45" s="244"/>
    </row>
    <row r="46" spans="2:21" ht="12.5">
      <c r="B46" s="145" t="str">
        <f t="shared" si="0"/>
        <v/>
      </c>
      <c r="C46" s="496">
        <f>IF(D11="","-",+C45+1)</f>
        <v>2046</v>
      </c>
      <c r="D46" s="509">
        <f>IF(F45+SUM(E$17:E45)=D$10,F45,D$10-SUM(E$17:E45))</f>
        <v>1977969.0528268549</v>
      </c>
      <c r="E46" s="510">
        <f t="shared" si="9"/>
        <v>325193.0882352941</v>
      </c>
      <c r="F46" s="511">
        <f t="shared" si="4"/>
        <v>1652775.9645915609</v>
      </c>
      <c r="G46" s="512">
        <f t="shared" si="8"/>
        <v>518379.85454791097</v>
      </c>
      <c r="H46" s="478">
        <f t="shared" si="5"/>
        <v>518379.85454791097</v>
      </c>
      <c r="I46" s="501">
        <f t="shared" si="6"/>
        <v>0</v>
      </c>
      <c r="J46" s="501"/>
      <c r="K46" s="513"/>
      <c r="L46" s="505">
        <f t="shared" si="7"/>
        <v>0</v>
      </c>
      <c r="M46" s="513"/>
      <c r="N46" s="505">
        <f t="shared" si="1"/>
        <v>0</v>
      </c>
      <c r="O46" s="505">
        <f t="shared" si="2"/>
        <v>0</v>
      </c>
      <c r="P46" s="279"/>
      <c r="R46" s="244"/>
      <c r="S46" s="244"/>
      <c r="T46" s="244"/>
      <c r="U46" s="244"/>
    </row>
    <row r="47" spans="2:21" ht="12.5">
      <c r="B47" s="145" t="str">
        <f t="shared" si="0"/>
        <v/>
      </c>
      <c r="C47" s="496">
        <f>IF(D11="","-",+C46+1)</f>
        <v>2047</v>
      </c>
      <c r="D47" s="509">
        <f>IF(F46+SUM(E$17:E46)=D$10,F46,D$10-SUM(E$17:E46))</f>
        <v>1652775.9645915609</v>
      </c>
      <c r="E47" s="510">
        <f t="shared" si="9"/>
        <v>325193.0882352941</v>
      </c>
      <c r="F47" s="511">
        <f t="shared" si="4"/>
        <v>1327582.8763562669</v>
      </c>
      <c r="G47" s="512">
        <f t="shared" si="8"/>
        <v>483773.73330172151</v>
      </c>
      <c r="H47" s="478">
        <f t="shared" si="5"/>
        <v>483773.73330172151</v>
      </c>
      <c r="I47" s="501">
        <f t="shared" si="6"/>
        <v>0</v>
      </c>
      <c r="J47" s="501"/>
      <c r="K47" s="513"/>
      <c r="L47" s="505">
        <f t="shared" si="7"/>
        <v>0</v>
      </c>
      <c r="M47" s="513"/>
      <c r="N47" s="505">
        <f t="shared" si="1"/>
        <v>0</v>
      </c>
      <c r="O47" s="505">
        <f t="shared" si="2"/>
        <v>0</v>
      </c>
      <c r="P47" s="279"/>
      <c r="R47" s="244"/>
      <c r="S47" s="244"/>
      <c r="T47" s="244"/>
      <c r="U47" s="244"/>
    </row>
    <row r="48" spans="2:21" ht="12.5">
      <c r="B48" s="145" t="str">
        <f t="shared" si="0"/>
        <v/>
      </c>
      <c r="C48" s="496">
        <f>IF(D11="","-",+C47+1)</f>
        <v>2048</v>
      </c>
      <c r="D48" s="509">
        <f>IF(F47+SUM(E$17:E47)=D$10,F47,D$10-SUM(E$17:E47))</f>
        <v>1327582.8763562669</v>
      </c>
      <c r="E48" s="510">
        <f t="shared" si="9"/>
        <v>325193.0882352941</v>
      </c>
      <c r="F48" s="511">
        <f t="shared" si="4"/>
        <v>1002389.7881209728</v>
      </c>
      <c r="G48" s="512">
        <f t="shared" si="8"/>
        <v>449167.61205553205</v>
      </c>
      <c r="H48" s="478">
        <f t="shared" si="5"/>
        <v>449167.61205553205</v>
      </c>
      <c r="I48" s="501">
        <f t="shared" si="6"/>
        <v>0</v>
      </c>
      <c r="J48" s="501"/>
      <c r="K48" s="513"/>
      <c r="L48" s="505">
        <f t="shared" si="7"/>
        <v>0</v>
      </c>
      <c r="M48" s="513"/>
      <c r="N48" s="505">
        <f t="shared" si="1"/>
        <v>0</v>
      </c>
      <c r="O48" s="505">
        <f t="shared" si="2"/>
        <v>0</v>
      </c>
      <c r="P48" s="279"/>
      <c r="R48" s="244"/>
      <c r="S48" s="244"/>
      <c r="T48" s="244"/>
      <c r="U48" s="244"/>
    </row>
    <row r="49" spans="2:21" ht="12.5">
      <c r="B49" s="145" t="str">
        <f t="shared" si="0"/>
        <v/>
      </c>
      <c r="C49" s="496">
        <f>IF(D11="","-",+C48+1)</f>
        <v>2049</v>
      </c>
      <c r="D49" s="509">
        <f>IF(F48+SUM(E$17:E48)=D$10,F48,D$10-SUM(E$17:E48))</f>
        <v>1002389.7881209728</v>
      </c>
      <c r="E49" s="510">
        <f t="shared" si="9"/>
        <v>325193.0882352941</v>
      </c>
      <c r="F49" s="511">
        <f t="shared" si="4"/>
        <v>677196.69988567871</v>
      </c>
      <c r="G49" s="512">
        <f t="shared" si="8"/>
        <v>414561.49080934265</v>
      </c>
      <c r="H49" s="478">
        <f t="shared" si="5"/>
        <v>414561.49080934265</v>
      </c>
      <c r="I49" s="501">
        <f t="shared" si="6"/>
        <v>0</v>
      </c>
      <c r="J49" s="501"/>
      <c r="K49" s="513"/>
      <c r="L49" s="505">
        <f t="shared" si="7"/>
        <v>0</v>
      </c>
      <c r="M49" s="513"/>
      <c r="N49" s="505">
        <f t="shared" si="1"/>
        <v>0</v>
      </c>
      <c r="O49" s="505">
        <f t="shared" si="2"/>
        <v>0</v>
      </c>
      <c r="P49" s="279"/>
      <c r="R49" s="244"/>
      <c r="S49" s="244"/>
      <c r="T49" s="244"/>
      <c r="U49" s="244"/>
    </row>
    <row r="50" spans="2:21" ht="12.5">
      <c r="B50" s="145" t="str">
        <f t="shared" si="0"/>
        <v/>
      </c>
      <c r="C50" s="496">
        <f>IF(D11="","-",+C49+1)</f>
        <v>2050</v>
      </c>
      <c r="D50" s="509">
        <f>IF(F49+SUM(E$17:E49)=D$10,F49,D$10-SUM(E$17:E49))</f>
        <v>677196.69988567871</v>
      </c>
      <c r="E50" s="510">
        <f t="shared" si="9"/>
        <v>325193.0882352941</v>
      </c>
      <c r="F50" s="511">
        <f t="shared" si="4"/>
        <v>352003.61165038461</v>
      </c>
      <c r="G50" s="512">
        <f t="shared" si="8"/>
        <v>379955.36956315319</v>
      </c>
      <c r="H50" s="478">
        <f t="shared" si="5"/>
        <v>379955.36956315319</v>
      </c>
      <c r="I50" s="501">
        <f t="shared" si="6"/>
        <v>0</v>
      </c>
      <c r="J50" s="501"/>
      <c r="K50" s="513"/>
      <c r="L50" s="505">
        <f t="shared" si="7"/>
        <v>0</v>
      </c>
      <c r="M50" s="513"/>
      <c r="N50" s="505">
        <f t="shared" si="1"/>
        <v>0</v>
      </c>
      <c r="O50" s="505">
        <f t="shared" si="2"/>
        <v>0</v>
      </c>
      <c r="P50" s="279"/>
      <c r="R50" s="244"/>
      <c r="S50" s="244"/>
      <c r="T50" s="244"/>
      <c r="U50" s="244"/>
    </row>
    <row r="51" spans="2:21" ht="12.5">
      <c r="B51" s="145" t="str">
        <f t="shared" si="0"/>
        <v/>
      </c>
      <c r="C51" s="496">
        <f>IF(D11="","-",+C50+1)</f>
        <v>2051</v>
      </c>
      <c r="D51" s="509">
        <f>IF(F50+SUM(E$17:E50)=D$10,F50,D$10-SUM(E$17:E50))</f>
        <v>352003.61165038461</v>
      </c>
      <c r="E51" s="510">
        <f t="shared" si="9"/>
        <v>325193.0882352941</v>
      </c>
      <c r="F51" s="511">
        <f t="shared" si="4"/>
        <v>26810.523415090516</v>
      </c>
      <c r="G51" s="512">
        <f t="shared" si="8"/>
        <v>345349.24831696373</v>
      </c>
      <c r="H51" s="478">
        <f t="shared" si="5"/>
        <v>345349.24831696373</v>
      </c>
      <c r="I51" s="501">
        <f t="shared" si="6"/>
        <v>0</v>
      </c>
      <c r="J51" s="501"/>
      <c r="K51" s="513"/>
      <c r="L51" s="505">
        <f t="shared" si="7"/>
        <v>0</v>
      </c>
      <c r="M51" s="513"/>
      <c r="N51" s="505">
        <f t="shared" si="1"/>
        <v>0</v>
      </c>
      <c r="O51" s="505">
        <f t="shared" si="2"/>
        <v>0</v>
      </c>
      <c r="P51" s="279"/>
      <c r="R51" s="244"/>
      <c r="S51" s="244"/>
      <c r="T51" s="244"/>
      <c r="U51" s="244"/>
    </row>
    <row r="52" spans="2:21" ht="12.5">
      <c r="B52" s="145" t="str">
        <f t="shared" si="0"/>
        <v/>
      </c>
      <c r="C52" s="496">
        <f>IF(D11="","-",+C51+1)</f>
        <v>2052</v>
      </c>
      <c r="D52" s="509">
        <f>IF(F51+SUM(E$17:E51)=D$10,F51,D$10-SUM(E$17:E51))</f>
        <v>26810.523415090516</v>
      </c>
      <c r="E52" s="510">
        <f t="shared" si="9"/>
        <v>26810.523415090516</v>
      </c>
      <c r="F52" s="511">
        <f t="shared" si="4"/>
        <v>0</v>
      </c>
      <c r="G52" s="512">
        <f t="shared" si="8"/>
        <v>28237.073144377977</v>
      </c>
      <c r="H52" s="478">
        <f t="shared" si="5"/>
        <v>28237.073144377977</v>
      </c>
      <c r="I52" s="501">
        <f t="shared" si="6"/>
        <v>0</v>
      </c>
      <c r="J52" s="501"/>
      <c r="K52" s="513"/>
      <c r="L52" s="505">
        <f t="shared" si="7"/>
        <v>0</v>
      </c>
      <c r="M52" s="513"/>
      <c r="N52" s="505">
        <f t="shared" si="1"/>
        <v>0</v>
      </c>
      <c r="O52" s="505">
        <f t="shared" si="2"/>
        <v>0</v>
      </c>
      <c r="P52" s="279"/>
      <c r="R52" s="244"/>
      <c r="S52" s="244"/>
      <c r="T52" s="244"/>
      <c r="U52" s="244"/>
    </row>
    <row r="53" spans="2:21" ht="12.5">
      <c r="B53" s="145" t="str">
        <f t="shared" si="0"/>
        <v/>
      </c>
      <c r="C53" s="496">
        <f>IF(D11="","-",+C52+1)</f>
        <v>2053</v>
      </c>
      <c r="D53" s="509">
        <f>IF(F52+SUM(E$17:E52)=D$10,F52,D$10-SUM(E$17:E52))</f>
        <v>0</v>
      </c>
      <c r="E53" s="510">
        <f t="shared" si="9"/>
        <v>0</v>
      </c>
      <c r="F53" s="511">
        <f t="shared" si="4"/>
        <v>0</v>
      </c>
      <c r="G53" s="512">
        <f t="shared" si="8"/>
        <v>0</v>
      </c>
      <c r="H53" s="478">
        <f t="shared" si="5"/>
        <v>0</v>
      </c>
      <c r="I53" s="501">
        <f t="shared" si="6"/>
        <v>0</v>
      </c>
      <c r="J53" s="501"/>
      <c r="K53" s="513"/>
      <c r="L53" s="505">
        <f t="shared" si="7"/>
        <v>0</v>
      </c>
      <c r="M53" s="513"/>
      <c r="N53" s="505">
        <f t="shared" si="1"/>
        <v>0</v>
      </c>
      <c r="O53" s="505">
        <f t="shared" si="2"/>
        <v>0</v>
      </c>
      <c r="P53" s="279"/>
      <c r="R53" s="244"/>
      <c r="S53" s="244"/>
      <c r="T53" s="244"/>
      <c r="U53" s="244"/>
    </row>
    <row r="54" spans="2:21" ht="12.5">
      <c r="B54" s="145" t="str">
        <f t="shared" si="0"/>
        <v/>
      </c>
      <c r="C54" s="496">
        <f>IF(D11="","-",+C53+1)</f>
        <v>2054</v>
      </c>
      <c r="D54" s="509">
        <f>IF(F53+SUM(E$17:E53)=D$10,F53,D$10-SUM(E$17:E53))</f>
        <v>0</v>
      </c>
      <c r="E54" s="510">
        <f t="shared" si="9"/>
        <v>0</v>
      </c>
      <c r="F54" s="511">
        <f t="shared" si="4"/>
        <v>0</v>
      </c>
      <c r="G54" s="512">
        <f t="shared" si="8"/>
        <v>0</v>
      </c>
      <c r="H54" s="478">
        <f t="shared" si="5"/>
        <v>0</v>
      </c>
      <c r="I54" s="501">
        <f t="shared" si="6"/>
        <v>0</v>
      </c>
      <c r="J54" s="501"/>
      <c r="K54" s="513"/>
      <c r="L54" s="505">
        <f t="shared" si="7"/>
        <v>0</v>
      </c>
      <c r="M54" s="513"/>
      <c r="N54" s="505">
        <f t="shared" si="1"/>
        <v>0</v>
      </c>
      <c r="O54" s="505">
        <f t="shared" si="2"/>
        <v>0</v>
      </c>
      <c r="P54" s="279"/>
      <c r="R54" s="244"/>
      <c r="S54" s="244"/>
      <c r="T54" s="244"/>
      <c r="U54" s="244"/>
    </row>
    <row r="55" spans="2:21" ht="12.5">
      <c r="B55" s="145" t="str">
        <f t="shared" si="0"/>
        <v/>
      </c>
      <c r="C55" s="496">
        <f>IF(D11="","-",+C54+1)</f>
        <v>2055</v>
      </c>
      <c r="D55" s="509">
        <f>IF(F54+SUM(E$17:E54)=D$10,F54,D$10-SUM(E$17:E54))</f>
        <v>0</v>
      </c>
      <c r="E55" s="510">
        <f t="shared" si="9"/>
        <v>0</v>
      </c>
      <c r="F55" s="511">
        <f t="shared" si="4"/>
        <v>0</v>
      </c>
      <c r="G55" s="512">
        <f t="shared" si="8"/>
        <v>0</v>
      </c>
      <c r="H55" s="478">
        <f t="shared" si="5"/>
        <v>0</v>
      </c>
      <c r="I55" s="501">
        <f t="shared" si="6"/>
        <v>0</v>
      </c>
      <c r="J55" s="501"/>
      <c r="K55" s="513"/>
      <c r="L55" s="505">
        <f t="shared" si="7"/>
        <v>0</v>
      </c>
      <c r="M55" s="513"/>
      <c r="N55" s="505">
        <f t="shared" si="1"/>
        <v>0</v>
      </c>
      <c r="O55" s="505">
        <f t="shared" si="2"/>
        <v>0</v>
      </c>
      <c r="P55" s="279"/>
      <c r="R55" s="244"/>
      <c r="S55" s="244"/>
      <c r="T55" s="244"/>
      <c r="U55" s="244"/>
    </row>
    <row r="56" spans="2:21" ht="12.5">
      <c r="B56" s="145" t="str">
        <f t="shared" si="0"/>
        <v/>
      </c>
      <c r="C56" s="496">
        <f>IF(D11="","-",+C55+1)</f>
        <v>2056</v>
      </c>
      <c r="D56" s="509">
        <f>IF(F55+SUM(E$17:E55)=D$10,F55,D$10-SUM(E$17:E55))</f>
        <v>0</v>
      </c>
      <c r="E56" s="510">
        <f t="shared" si="9"/>
        <v>0</v>
      </c>
      <c r="F56" s="511">
        <f t="shared" si="4"/>
        <v>0</v>
      </c>
      <c r="G56" s="512">
        <f t="shared" si="8"/>
        <v>0</v>
      </c>
      <c r="H56" s="478">
        <f t="shared" si="5"/>
        <v>0</v>
      </c>
      <c r="I56" s="501">
        <f t="shared" si="6"/>
        <v>0</v>
      </c>
      <c r="J56" s="501"/>
      <c r="K56" s="513"/>
      <c r="L56" s="505">
        <f t="shared" si="7"/>
        <v>0</v>
      </c>
      <c r="M56" s="513"/>
      <c r="N56" s="505">
        <f t="shared" si="1"/>
        <v>0</v>
      </c>
      <c r="O56" s="505">
        <f t="shared" si="2"/>
        <v>0</v>
      </c>
      <c r="P56" s="279"/>
      <c r="R56" s="244"/>
      <c r="S56" s="244"/>
      <c r="T56" s="244"/>
      <c r="U56" s="244"/>
    </row>
    <row r="57" spans="2:21" ht="12.5">
      <c r="B57" s="145" t="str">
        <f t="shared" si="0"/>
        <v/>
      </c>
      <c r="C57" s="496">
        <f>IF(D11="","-",+C56+1)</f>
        <v>2057</v>
      </c>
      <c r="D57" s="509">
        <f>IF(F56+SUM(E$17:E56)=D$10,F56,D$10-SUM(E$17:E56))</f>
        <v>0</v>
      </c>
      <c r="E57" s="510">
        <f t="shared" si="9"/>
        <v>0</v>
      </c>
      <c r="F57" s="511">
        <f t="shared" si="4"/>
        <v>0</v>
      </c>
      <c r="G57" s="512">
        <f t="shared" si="8"/>
        <v>0</v>
      </c>
      <c r="H57" s="478">
        <f t="shared" si="5"/>
        <v>0</v>
      </c>
      <c r="I57" s="501">
        <f t="shared" si="6"/>
        <v>0</v>
      </c>
      <c r="J57" s="501"/>
      <c r="K57" s="513"/>
      <c r="L57" s="505">
        <f t="shared" si="7"/>
        <v>0</v>
      </c>
      <c r="M57" s="513"/>
      <c r="N57" s="505">
        <f t="shared" si="1"/>
        <v>0</v>
      </c>
      <c r="O57" s="505">
        <f t="shared" si="2"/>
        <v>0</v>
      </c>
      <c r="P57" s="279"/>
      <c r="R57" s="244"/>
      <c r="S57" s="244"/>
      <c r="T57" s="244"/>
      <c r="U57" s="244"/>
    </row>
    <row r="58" spans="2:21" ht="12.5">
      <c r="B58" s="145" t="str">
        <f t="shared" si="0"/>
        <v/>
      </c>
      <c r="C58" s="496">
        <f>IF(D11="","-",+C57+1)</f>
        <v>2058</v>
      </c>
      <c r="D58" s="509">
        <f>IF(F57+SUM(E$17:E57)=D$10,F57,D$10-SUM(E$17:E57))</f>
        <v>0</v>
      </c>
      <c r="E58" s="510">
        <f t="shared" si="9"/>
        <v>0</v>
      </c>
      <c r="F58" s="511">
        <f t="shared" si="4"/>
        <v>0</v>
      </c>
      <c r="G58" s="512">
        <f t="shared" si="8"/>
        <v>0</v>
      </c>
      <c r="H58" s="478">
        <f t="shared" si="5"/>
        <v>0</v>
      </c>
      <c r="I58" s="501">
        <f t="shared" si="6"/>
        <v>0</v>
      </c>
      <c r="J58" s="501"/>
      <c r="K58" s="513"/>
      <c r="L58" s="505">
        <f t="shared" si="7"/>
        <v>0</v>
      </c>
      <c r="M58" s="513"/>
      <c r="N58" s="505">
        <f t="shared" si="1"/>
        <v>0</v>
      </c>
      <c r="O58" s="505">
        <f t="shared" si="2"/>
        <v>0</v>
      </c>
      <c r="P58" s="279"/>
      <c r="R58" s="244"/>
      <c r="S58" s="244"/>
      <c r="T58" s="244"/>
      <c r="U58" s="244"/>
    </row>
    <row r="59" spans="2:21" ht="12.5">
      <c r="B59" s="145" t="str">
        <f t="shared" si="0"/>
        <v/>
      </c>
      <c r="C59" s="496">
        <f>IF(D11="","-",+C58+1)</f>
        <v>2059</v>
      </c>
      <c r="D59" s="509">
        <f>IF(F58+SUM(E$17:E58)=D$10,F58,D$10-SUM(E$17:E58))</f>
        <v>0</v>
      </c>
      <c r="E59" s="510">
        <f t="shared" si="9"/>
        <v>0</v>
      </c>
      <c r="F59" s="511">
        <f t="shared" si="4"/>
        <v>0</v>
      </c>
      <c r="G59" s="512">
        <f t="shared" si="8"/>
        <v>0</v>
      </c>
      <c r="H59" s="478">
        <f t="shared" si="5"/>
        <v>0</v>
      </c>
      <c r="I59" s="501">
        <f t="shared" si="6"/>
        <v>0</v>
      </c>
      <c r="J59" s="501"/>
      <c r="K59" s="513"/>
      <c r="L59" s="505">
        <f t="shared" si="7"/>
        <v>0</v>
      </c>
      <c r="M59" s="513"/>
      <c r="N59" s="505">
        <f t="shared" si="1"/>
        <v>0</v>
      </c>
      <c r="O59" s="505">
        <f t="shared" si="2"/>
        <v>0</v>
      </c>
      <c r="P59" s="279"/>
      <c r="R59" s="244"/>
      <c r="S59" s="244"/>
      <c r="T59" s="244"/>
      <c r="U59" s="244"/>
    </row>
    <row r="60" spans="2:21" ht="12.5">
      <c r="B60" s="145" t="str">
        <f t="shared" si="0"/>
        <v/>
      </c>
      <c r="C60" s="496">
        <f>IF(D11="","-",+C59+1)</f>
        <v>2060</v>
      </c>
      <c r="D60" s="509">
        <f>IF(F59+SUM(E$17:E59)=D$10,F59,D$10-SUM(E$17:E59))</f>
        <v>0</v>
      </c>
      <c r="E60" s="510">
        <f t="shared" si="9"/>
        <v>0</v>
      </c>
      <c r="F60" s="511">
        <f t="shared" si="4"/>
        <v>0</v>
      </c>
      <c r="G60" s="512">
        <f t="shared" si="8"/>
        <v>0</v>
      </c>
      <c r="H60" s="478">
        <f t="shared" si="5"/>
        <v>0</v>
      </c>
      <c r="I60" s="501">
        <f t="shared" si="6"/>
        <v>0</v>
      </c>
      <c r="J60" s="501"/>
      <c r="K60" s="513"/>
      <c r="L60" s="505">
        <f t="shared" si="7"/>
        <v>0</v>
      </c>
      <c r="M60" s="513"/>
      <c r="N60" s="505">
        <f t="shared" si="1"/>
        <v>0</v>
      </c>
      <c r="O60" s="505">
        <f t="shared" si="2"/>
        <v>0</v>
      </c>
      <c r="P60" s="279"/>
      <c r="R60" s="244"/>
      <c r="S60" s="244"/>
      <c r="T60" s="244"/>
      <c r="U60" s="244"/>
    </row>
    <row r="61" spans="2:21" ht="12.5">
      <c r="B61" s="145" t="str">
        <f t="shared" si="0"/>
        <v/>
      </c>
      <c r="C61" s="496">
        <f>IF(D11="","-",+C60+1)</f>
        <v>2061</v>
      </c>
      <c r="D61" s="509">
        <f>IF(F60+SUM(E$17:E60)=D$10,F60,D$10-SUM(E$17:E60))</f>
        <v>0</v>
      </c>
      <c r="E61" s="510">
        <f t="shared" si="9"/>
        <v>0</v>
      </c>
      <c r="F61" s="511">
        <f t="shared" si="4"/>
        <v>0</v>
      </c>
      <c r="G61" s="512">
        <f t="shared" si="8"/>
        <v>0</v>
      </c>
      <c r="H61" s="478">
        <f t="shared" si="5"/>
        <v>0</v>
      </c>
      <c r="I61" s="501">
        <f t="shared" si="6"/>
        <v>0</v>
      </c>
      <c r="J61" s="501"/>
      <c r="K61" s="513"/>
      <c r="L61" s="505">
        <f t="shared" si="7"/>
        <v>0</v>
      </c>
      <c r="M61" s="513"/>
      <c r="N61" s="505">
        <f t="shared" si="1"/>
        <v>0</v>
      </c>
      <c r="O61" s="505">
        <f t="shared" si="2"/>
        <v>0</v>
      </c>
      <c r="P61" s="279"/>
      <c r="R61" s="244"/>
      <c r="S61" s="244"/>
      <c r="T61" s="244"/>
      <c r="U61" s="244"/>
    </row>
    <row r="62" spans="2:21" ht="12.5">
      <c r="B62" s="145" t="str">
        <f t="shared" si="0"/>
        <v/>
      </c>
      <c r="C62" s="496">
        <f>IF(D11="","-",+C61+1)</f>
        <v>2062</v>
      </c>
      <c r="D62" s="509">
        <f>IF(F61+SUM(E$17:E61)=D$10,F61,D$10-SUM(E$17:E61))</f>
        <v>0</v>
      </c>
      <c r="E62" s="510">
        <f t="shared" si="9"/>
        <v>0</v>
      </c>
      <c r="F62" s="511">
        <f t="shared" si="4"/>
        <v>0</v>
      </c>
      <c r="G62" s="512">
        <f t="shared" si="8"/>
        <v>0</v>
      </c>
      <c r="H62" s="478">
        <f t="shared" si="5"/>
        <v>0</v>
      </c>
      <c r="I62" s="501">
        <f t="shared" si="6"/>
        <v>0</v>
      </c>
      <c r="J62" s="501"/>
      <c r="K62" s="513"/>
      <c r="L62" s="505">
        <f t="shared" si="7"/>
        <v>0</v>
      </c>
      <c r="M62" s="513"/>
      <c r="N62" s="505">
        <f t="shared" si="1"/>
        <v>0</v>
      </c>
      <c r="O62" s="505">
        <f t="shared" si="2"/>
        <v>0</v>
      </c>
      <c r="P62" s="279"/>
      <c r="R62" s="244"/>
      <c r="S62" s="244"/>
      <c r="T62" s="244"/>
      <c r="U62" s="244"/>
    </row>
    <row r="63" spans="2:21" ht="12.5">
      <c r="B63" s="145" t="str">
        <f t="shared" si="0"/>
        <v/>
      </c>
      <c r="C63" s="496">
        <f>IF(D11="","-",+C62+1)</f>
        <v>2063</v>
      </c>
      <c r="D63" s="509">
        <f>IF(F62+SUM(E$17:E62)=D$10,F62,D$10-SUM(E$17:E62))</f>
        <v>0</v>
      </c>
      <c r="E63" s="510">
        <f t="shared" si="9"/>
        <v>0</v>
      </c>
      <c r="F63" s="511">
        <f t="shared" si="4"/>
        <v>0</v>
      </c>
      <c r="G63" s="512">
        <f t="shared" si="8"/>
        <v>0</v>
      </c>
      <c r="H63" s="478">
        <f t="shared" si="5"/>
        <v>0</v>
      </c>
      <c r="I63" s="501">
        <f t="shared" si="6"/>
        <v>0</v>
      </c>
      <c r="J63" s="501"/>
      <c r="K63" s="513"/>
      <c r="L63" s="505">
        <f t="shared" si="7"/>
        <v>0</v>
      </c>
      <c r="M63" s="513"/>
      <c r="N63" s="505">
        <f t="shared" si="1"/>
        <v>0</v>
      </c>
      <c r="O63" s="505">
        <f t="shared" si="2"/>
        <v>0</v>
      </c>
      <c r="P63" s="279"/>
      <c r="R63" s="244"/>
      <c r="S63" s="244"/>
      <c r="T63" s="244"/>
      <c r="U63" s="244"/>
    </row>
    <row r="64" spans="2:21" ht="12.5">
      <c r="B64" s="145" t="str">
        <f t="shared" si="0"/>
        <v/>
      </c>
      <c r="C64" s="496">
        <f>IF(D11="","-",+C63+1)</f>
        <v>2064</v>
      </c>
      <c r="D64" s="509">
        <f>IF(F63+SUM(E$17:E63)=D$10,F63,D$10-SUM(E$17:E63))</f>
        <v>0</v>
      </c>
      <c r="E64" s="510">
        <f t="shared" si="9"/>
        <v>0</v>
      </c>
      <c r="F64" s="511">
        <f t="shared" si="4"/>
        <v>0</v>
      </c>
      <c r="G64" s="512">
        <f t="shared" si="8"/>
        <v>0</v>
      </c>
      <c r="H64" s="478">
        <f t="shared" si="5"/>
        <v>0</v>
      </c>
      <c r="I64" s="501">
        <f t="shared" si="6"/>
        <v>0</v>
      </c>
      <c r="J64" s="501"/>
      <c r="K64" s="513"/>
      <c r="L64" s="505">
        <f t="shared" si="7"/>
        <v>0</v>
      </c>
      <c r="M64" s="513"/>
      <c r="N64" s="505">
        <f t="shared" si="1"/>
        <v>0</v>
      </c>
      <c r="O64" s="505">
        <f t="shared" si="2"/>
        <v>0</v>
      </c>
      <c r="P64" s="279"/>
      <c r="R64" s="244"/>
      <c r="S64" s="244"/>
      <c r="T64" s="244"/>
      <c r="U64" s="244"/>
    </row>
    <row r="65" spans="2:21" ht="12.5">
      <c r="B65" s="145" t="str">
        <f t="shared" si="0"/>
        <v/>
      </c>
      <c r="C65" s="496">
        <f>IF(D11="","-",+C64+1)</f>
        <v>2065</v>
      </c>
      <c r="D65" s="509">
        <f>IF(F64+SUM(E$17:E64)=D$10,F64,D$10-SUM(E$17:E64))</f>
        <v>0</v>
      </c>
      <c r="E65" s="510">
        <f t="shared" si="9"/>
        <v>0</v>
      </c>
      <c r="F65" s="511">
        <f t="shared" si="4"/>
        <v>0</v>
      </c>
      <c r="G65" s="512">
        <f t="shared" si="8"/>
        <v>0</v>
      </c>
      <c r="H65" s="478">
        <f t="shared" si="5"/>
        <v>0</v>
      </c>
      <c r="I65" s="501">
        <f t="shared" si="6"/>
        <v>0</v>
      </c>
      <c r="J65" s="501"/>
      <c r="K65" s="513"/>
      <c r="L65" s="505">
        <f t="shared" si="7"/>
        <v>0</v>
      </c>
      <c r="M65" s="513"/>
      <c r="N65" s="505">
        <f t="shared" si="1"/>
        <v>0</v>
      </c>
      <c r="O65" s="505">
        <f t="shared" si="2"/>
        <v>0</v>
      </c>
      <c r="P65" s="279"/>
      <c r="R65" s="244"/>
      <c r="S65" s="244"/>
      <c r="T65" s="244"/>
      <c r="U65" s="244"/>
    </row>
    <row r="66" spans="2:21" ht="12.5">
      <c r="B66" s="145" t="str">
        <f t="shared" si="0"/>
        <v/>
      </c>
      <c r="C66" s="496">
        <f>IF(D11="","-",+C65+1)</f>
        <v>2066</v>
      </c>
      <c r="D66" s="509">
        <f>IF(F65+SUM(E$17:E65)=D$10,F65,D$10-SUM(E$17:E65))</f>
        <v>0</v>
      </c>
      <c r="E66" s="510">
        <f t="shared" si="9"/>
        <v>0</v>
      </c>
      <c r="F66" s="511">
        <f t="shared" si="4"/>
        <v>0</v>
      </c>
      <c r="G66" s="512">
        <f t="shared" si="8"/>
        <v>0</v>
      </c>
      <c r="H66" s="478">
        <f t="shared" si="5"/>
        <v>0</v>
      </c>
      <c r="I66" s="501">
        <f t="shared" si="6"/>
        <v>0</v>
      </c>
      <c r="J66" s="501"/>
      <c r="K66" s="513"/>
      <c r="L66" s="505">
        <f t="shared" si="7"/>
        <v>0</v>
      </c>
      <c r="M66" s="513"/>
      <c r="N66" s="505">
        <f t="shared" si="1"/>
        <v>0</v>
      </c>
      <c r="O66" s="505">
        <f t="shared" si="2"/>
        <v>0</v>
      </c>
      <c r="P66" s="279"/>
      <c r="R66" s="244"/>
      <c r="S66" s="244"/>
      <c r="T66" s="244"/>
      <c r="U66" s="244"/>
    </row>
    <row r="67" spans="2:21" ht="12.5">
      <c r="B67" s="145" t="str">
        <f t="shared" si="0"/>
        <v/>
      </c>
      <c r="C67" s="496">
        <f>IF(D11="","-",+C66+1)</f>
        <v>2067</v>
      </c>
      <c r="D67" s="509">
        <f>IF(F66+SUM(E$17:E66)=D$10,F66,D$10-SUM(E$17:E66))</f>
        <v>0</v>
      </c>
      <c r="E67" s="510">
        <f t="shared" si="9"/>
        <v>0</v>
      </c>
      <c r="F67" s="511">
        <f t="shared" si="4"/>
        <v>0</v>
      </c>
      <c r="G67" s="512">
        <f t="shared" si="8"/>
        <v>0</v>
      </c>
      <c r="H67" s="478">
        <f t="shared" si="5"/>
        <v>0</v>
      </c>
      <c r="I67" s="501">
        <f t="shared" si="6"/>
        <v>0</v>
      </c>
      <c r="J67" s="501"/>
      <c r="K67" s="513"/>
      <c r="L67" s="505">
        <f t="shared" si="7"/>
        <v>0</v>
      </c>
      <c r="M67" s="513"/>
      <c r="N67" s="505">
        <f t="shared" si="1"/>
        <v>0</v>
      </c>
      <c r="O67" s="505">
        <f t="shared" si="2"/>
        <v>0</v>
      </c>
      <c r="P67" s="279"/>
      <c r="R67" s="244"/>
      <c r="S67" s="244"/>
      <c r="T67" s="244"/>
      <c r="U67" s="244"/>
    </row>
    <row r="68" spans="2:21" ht="12.5">
      <c r="B68" s="145" t="str">
        <f t="shared" si="0"/>
        <v/>
      </c>
      <c r="C68" s="496">
        <f>IF(D11="","-",+C67+1)</f>
        <v>2068</v>
      </c>
      <c r="D68" s="509">
        <f>IF(F67+SUM(E$17:E67)=D$10,F67,D$10-SUM(E$17:E67))</f>
        <v>0</v>
      </c>
      <c r="E68" s="510">
        <f t="shared" si="9"/>
        <v>0</v>
      </c>
      <c r="F68" s="511">
        <f t="shared" si="4"/>
        <v>0</v>
      </c>
      <c r="G68" s="512">
        <f t="shared" si="8"/>
        <v>0</v>
      </c>
      <c r="H68" s="478">
        <f t="shared" si="5"/>
        <v>0</v>
      </c>
      <c r="I68" s="501">
        <f t="shared" si="6"/>
        <v>0</v>
      </c>
      <c r="J68" s="501"/>
      <c r="K68" s="513"/>
      <c r="L68" s="505">
        <f t="shared" si="7"/>
        <v>0</v>
      </c>
      <c r="M68" s="513"/>
      <c r="N68" s="505">
        <f t="shared" si="1"/>
        <v>0</v>
      </c>
      <c r="O68" s="505">
        <f t="shared" si="2"/>
        <v>0</v>
      </c>
      <c r="P68" s="279"/>
      <c r="R68" s="244"/>
      <c r="S68" s="244"/>
      <c r="T68" s="244"/>
      <c r="U68" s="244"/>
    </row>
    <row r="69" spans="2:21" ht="12.5">
      <c r="B69" s="145" t="str">
        <f t="shared" si="0"/>
        <v/>
      </c>
      <c r="C69" s="496">
        <f>IF(D11="","-",+C68+1)</f>
        <v>2069</v>
      </c>
      <c r="D69" s="509">
        <f>IF(F68+SUM(E$17:E68)=D$10,F68,D$10-SUM(E$17:E68))</f>
        <v>0</v>
      </c>
      <c r="E69" s="510">
        <f t="shared" si="9"/>
        <v>0</v>
      </c>
      <c r="F69" s="511">
        <f t="shared" si="4"/>
        <v>0</v>
      </c>
      <c r="G69" s="512">
        <f t="shared" si="8"/>
        <v>0</v>
      </c>
      <c r="H69" s="478">
        <f t="shared" si="5"/>
        <v>0</v>
      </c>
      <c r="I69" s="501">
        <f t="shared" si="6"/>
        <v>0</v>
      </c>
      <c r="J69" s="501"/>
      <c r="K69" s="513"/>
      <c r="L69" s="505">
        <f t="shared" si="7"/>
        <v>0</v>
      </c>
      <c r="M69" s="513"/>
      <c r="N69" s="505">
        <f t="shared" si="1"/>
        <v>0</v>
      </c>
      <c r="O69" s="505">
        <f t="shared" si="2"/>
        <v>0</v>
      </c>
      <c r="P69" s="279"/>
      <c r="R69" s="244"/>
      <c r="S69" s="244"/>
      <c r="T69" s="244"/>
      <c r="U69" s="244"/>
    </row>
    <row r="70" spans="2:21" ht="12.5">
      <c r="B70" s="145" t="str">
        <f t="shared" si="0"/>
        <v/>
      </c>
      <c r="C70" s="496">
        <f>IF(D11="","-",+C69+1)</f>
        <v>2070</v>
      </c>
      <c r="D70" s="509">
        <f>IF(F69+SUM(E$17:E69)=D$10,F69,D$10-SUM(E$17:E69))</f>
        <v>0</v>
      </c>
      <c r="E70" s="510">
        <f t="shared" si="9"/>
        <v>0</v>
      </c>
      <c r="F70" s="511">
        <f t="shared" si="4"/>
        <v>0</v>
      </c>
      <c r="G70" s="512">
        <f t="shared" si="8"/>
        <v>0</v>
      </c>
      <c r="H70" s="478">
        <f t="shared" si="5"/>
        <v>0</v>
      </c>
      <c r="I70" s="501">
        <f t="shared" si="6"/>
        <v>0</v>
      </c>
      <c r="J70" s="501"/>
      <c r="K70" s="513"/>
      <c r="L70" s="505">
        <f t="shared" si="7"/>
        <v>0</v>
      </c>
      <c r="M70" s="513"/>
      <c r="N70" s="505">
        <f t="shared" si="1"/>
        <v>0</v>
      </c>
      <c r="O70" s="505">
        <f t="shared" si="2"/>
        <v>0</v>
      </c>
      <c r="P70" s="279"/>
      <c r="R70" s="244"/>
      <c r="S70" s="244"/>
      <c r="T70" s="244"/>
      <c r="U70" s="244"/>
    </row>
    <row r="71" spans="2:21" ht="12.5">
      <c r="B71" s="145" t="str">
        <f t="shared" si="0"/>
        <v/>
      </c>
      <c r="C71" s="496">
        <f>IF(D11="","-",+C70+1)</f>
        <v>2071</v>
      </c>
      <c r="D71" s="509">
        <f>IF(F70+SUM(E$17:E70)=D$10,F70,D$10-SUM(E$17:E70))</f>
        <v>0</v>
      </c>
      <c r="E71" s="510">
        <f t="shared" si="9"/>
        <v>0</v>
      </c>
      <c r="F71" s="511">
        <f t="shared" si="4"/>
        <v>0</v>
      </c>
      <c r="G71" s="512">
        <f t="shared" si="8"/>
        <v>0</v>
      </c>
      <c r="H71" s="478">
        <f t="shared" si="5"/>
        <v>0</v>
      </c>
      <c r="I71" s="501">
        <f t="shared" si="6"/>
        <v>0</v>
      </c>
      <c r="J71" s="501"/>
      <c r="K71" s="513"/>
      <c r="L71" s="505">
        <f t="shared" si="7"/>
        <v>0</v>
      </c>
      <c r="M71" s="513"/>
      <c r="N71" s="505">
        <f t="shared" si="1"/>
        <v>0</v>
      </c>
      <c r="O71" s="505">
        <f t="shared" si="2"/>
        <v>0</v>
      </c>
      <c r="P71" s="279"/>
      <c r="R71" s="244"/>
      <c r="S71" s="244"/>
      <c r="T71" s="244"/>
      <c r="U71" s="244"/>
    </row>
    <row r="72" spans="2:21" ht="12.5">
      <c r="B72" s="145" t="str">
        <f t="shared" si="0"/>
        <v/>
      </c>
      <c r="C72" s="496">
        <f>IF(D11="","-",+C71+1)</f>
        <v>2072</v>
      </c>
      <c r="D72" s="509">
        <f>IF(F71+SUM(E$17:E71)=D$10,F71,D$10-SUM(E$17:E71))</f>
        <v>0</v>
      </c>
      <c r="E72" s="510">
        <f t="shared" si="9"/>
        <v>0</v>
      </c>
      <c r="F72" s="511">
        <f t="shared" si="4"/>
        <v>0</v>
      </c>
      <c r="G72" s="512">
        <f t="shared" si="8"/>
        <v>0</v>
      </c>
      <c r="H72" s="478">
        <f t="shared" si="5"/>
        <v>0</v>
      </c>
      <c r="I72" s="501">
        <f t="shared" si="6"/>
        <v>0</v>
      </c>
      <c r="J72" s="501"/>
      <c r="K72" s="513"/>
      <c r="L72" s="505">
        <f t="shared" si="7"/>
        <v>0</v>
      </c>
      <c r="M72" s="513"/>
      <c r="N72" s="505">
        <f t="shared" si="1"/>
        <v>0</v>
      </c>
      <c r="O72" s="505">
        <f t="shared" si="2"/>
        <v>0</v>
      </c>
      <c r="P72" s="279"/>
      <c r="R72" s="244"/>
      <c r="S72" s="244"/>
      <c r="T72" s="244"/>
      <c r="U72" s="244"/>
    </row>
    <row r="73" spans="2:21" ht="13" thickBot="1">
      <c r="B73" s="145" t="str">
        <f t="shared" si="0"/>
        <v/>
      </c>
      <c r="C73" s="525">
        <f>IF(D11="","-",+C72+1)</f>
        <v>2073</v>
      </c>
      <c r="D73" s="526">
        <f>IF(F72+SUM(E$17:E72)=D$10,F72,D$10-SUM(E$17:E72))</f>
        <v>0</v>
      </c>
      <c r="E73" s="527">
        <f t="shared" si="9"/>
        <v>0</v>
      </c>
      <c r="F73" s="528">
        <f t="shared" si="4"/>
        <v>0</v>
      </c>
      <c r="G73" s="528">
        <f t="shared" si="8"/>
        <v>0</v>
      </c>
      <c r="H73" s="528">
        <f t="shared" si="5"/>
        <v>0</v>
      </c>
      <c r="I73" s="530">
        <f t="shared" si="6"/>
        <v>0</v>
      </c>
      <c r="J73" s="501"/>
      <c r="K73" s="531"/>
      <c r="L73" s="532">
        <f t="shared" si="7"/>
        <v>0</v>
      </c>
      <c r="M73" s="531"/>
      <c r="N73" s="532">
        <f t="shared" si="1"/>
        <v>0</v>
      </c>
      <c r="O73" s="532">
        <f t="shared" si="2"/>
        <v>0</v>
      </c>
      <c r="P73" s="279"/>
      <c r="R73" s="244"/>
      <c r="S73" s="244"/>
      <c r="T73" s="244"/>
      <c r="U73" s="244"/>
    </row>
    <row r="74" spans="2:21" ht="12.5">
      <c r="C74" s="350" t="s">
        <v>75</v>
      </c>
      <c r="D74" s="295"/>
      <c r="E74" s="295">
        <f>SUM(E17:E73)</f>
        <v>11056565.000000002</v>
      </c>
      <c r="F74" s="295"/>
      <c r="G74" s="295">
        <f>SUM(G17:G73)</f>
        <v>31838711.307410393</v>
      </c>
      <c r="H74" s="295">
        <f>SUM(H17:H73)</f>
        <v>31838711.307410393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15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1401378.1525541013</v>
      </c>
      <c r="N88" s="545">
        <f>IF(J93&lt;D11,0,VLOOKUP(J93,C17:O73,11))</f>
        <v>1401378.1525541013</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1470461.3095253243</v>
      </c>
      <c r="N89" s="549">
        <f>IF(J93&lt;D11,0,VLOOKUP(J93,C100:P155,7))</f>
        <v>1470461.3095253243</v>
      </c>
      <c r="O89" s="550">
        <f>+N89-M89</f>
        <v>0</v>
      </c>
      <c r="P89" s="244"/>
      <c r="Q89" s="244"/>
      <c r="R89" s="244"/>
      <c r="S89" s="244"/>
      <c r="T89" s="244"/>
      <c r="U89" s="244"/>
    </row>
    <row r="90" spans="1:21" ht="13.5" thickBot="1">
      <c r="C90" s="455" t="s">
        <v>82</v>
      </c>
      <c r="D90" s="551" t="str">
        <f>+D7</f>
        <v>Darlington Roman Nose 138 kv</v>
      </c>
      <c r="E90" s="244"/>
      <c r="F90" s="244"/>
      <c r="G90" s="244"/>
      <c r="H90" s="244"/>
      <c r="I90" s="326"/>
      <c r="J90" s="326"/>
      <c r="K90" s="552"/>
      <c r="L90" s="553" t="s">
        <v>135</v>
      </c>
      <c r="M90" s="554">
        <f>+M89-M88</f>
        <v>69083.156971222954</v>
      </c>
      <c r="N90" s="554">
        <f>+N89-N88</f>
        <v>69083.156971222954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
        <v>261</v>
      </c>
      <c r="E92" s="559"/>
      <c r="F92" s="559"/>
      <c r="G92" s="559"/>
      <c r="H92" s="559"/>
      <c r="I92" s="559"/>
      <c r="J92" s="559"/>
      <c r="K92" s="561"/>
      <c r="P92" s="469"/>
      <c r="Q92" s="244"/>
      <c r="R92" s="244"/>
      <c r="S92" s="244"/>
      <c r="T92" s="244"/>
      <c r="U92" s="244"/>
    </row>
    <row r="93" spans="1:21" ht="13">
      <c r="C93" s="473" t="s">
        <v>49</v>
      </c>
      <c r="D93" s="599">
        <v>11056565</v>
      </c>
      <c r="E93" s="249" t="s">
        <v>84</v>
      </c>
      <c r="H93" s="409"/>
      <c r="I93" s="409"/>
      <c r="J93" s="472">
        <f>+'OKT.WS.G.BPU.ATRR.True-up'!M16</f>
        <v>2020</v>
      </c>
      <c r="K93" s="468"/>
      <c r="L93" s="295" t="s">
        <v>85</v>
      </c>
      <c r="P93" s="279"/>
      <c r="Q93" s="244"/>
      <c r="R93" s="244"/>
      <c r="S93" s="244"/>
      <c r="T93" s="244"/>
      <c r="U93" s="244"/>
    </row>
    <row r="94" spans="1:21" ht="12.5">
      <c r="C94" s="473" t="s">
        <v>52</v>
      </c>
      <c r="D94" s="637">
        <f>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99">
        <f>D12</f>
        <v>6</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394877.32142857142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0">IF(D100=F99,"","IU")</f>
        <v>IU</v>
      </c>
      <c r="C100" s="496">
        <f>IF(D94= "","-",D94)</f>
        <v>2017</v>
      </c>
      <c r="D100" s="497">
        <v>0</v>
      </c>
      <c r="E100" s="499">
        <v>137920.28750000001</v>
      </c>
      <c r="F100" s="506">
        <v>10895702.7125</v>
      </c>
      <c r="G100" s="506">
        <v>5447851.3562500002</v>
      </c>
      <c r="H100" s="499">
        <v>777148.63448158256</v>
      </c>
      <c r="I100" s="500">
        <v>777148.63448158256</v>
      </c>
      <c r="J100" s="505">
        <f>+I100-H100</f>
        <v>0</v>
      </c>
      <c r="K100" s="505"/>
      <c r="L100" s="507">
        <f>+H100</f>
        <v>777148.63448158256</v>
      </c>
      <c r="M100" s="505">
        <f>IF(L100&lt;&gt;0,+H100-L100,0)</f>
        <v>0</v>
      </c>
      <c r="N100" s="507">
        <f>+I100</f>
        <v>777148.63448158256</v>
      </c>
      <c r="O100" s="587">
        <f>IF(N100&lt;&gt;0,+I100-N100,0)</f>
        <v>0</v>
      </c>
      <c r="P100" s="505">
        <f>+O100-M100</f>
        <v>0</v>
      </c>
      <c r="Q100" s="244"/>
      <c r="R100" s="244"/>
      <c r="S100" s="244"/>
      <c r="T100" s="244"/>
      <c r="U100" s="244"/>
    </row>
    <row r="101" spans="1:21" ht="12.5">
      <c r="B101" s="145" t="str">
        <f t="shared" si="10"/>
        <v/>
      </c>
      <c r="C101" s="496">
        <f>IF(D94="","-",+C100+1)</f>
        <v>2018</v>
      </c>
      <c r="D101" s="497">
        <v>10895702.7125</v>
      </c>
      <c r="E101" s="499">
        <v>306489.52777777775</v>
      </c>
      <c r="F101" s="506">
        <v>10589213.184722222</v>
      </c>
      <c r="G101" s="506">
        <v>10742457.94861111</v>
      </c>
      <c r="H101" s="499">
        <v>1440489.6981770755</v>
      </c>
      <c r="I101" s="500">
        <v>1440489.6981770755</v>
      </c>
      <c r="J101" s="505">
        <v>0</v>
      </c>
      <c r="K101" s="505"/>
      <c r="L101" s="507">
        <f>H101</f>
        <v>1440489.6981770755</v>
      </c>
      <c r="M101" s="505">
        <f>IF(L101&lt;&gt;0,+H101-L101,0)</f>
        <v>0</v>
      </c>
      <c r="N101" s="507">
        <f>I101</f>
        <v>1440489.6981770755</v>
      </c>
      <c r="O101" s="505">
        <f>IF(N101&lt;&gt;0,+I101-N101,0)</f>
        <v>0</v>
      </c>
      <c r="P101" s="505">
        <f>+O101-M101</f>
        <v>0</v>
      </c>
      <c r="Q101" s="244"/>
      <c r="R101" s="244"/>
      <c r="S101" s="244"/>
      <c r="T101" s="244"/>
      <c r="U101" s="244"/>
    </row>
    <row r="102" spans="1:21" ht="12.5">
      <c r="B102" s="145" t="str">
        <f t="shared" si="10"/>
        <v>IU</v>
      </c>
      <c r="C102" s="496">
        <f>IF(D94="","-",+C101+1)</f>
        <v>2019</v>
      </c>
      <c r="D102" s="350">
        <v>10612155.184722222</v>
      </c>
      <c r="E102" s="510">
        <v>307126.80555555556</v>
      </c>
      <c r="F102" s="511">
        <v>10305028.379166666</v>
      </c>
      <c r="G102" s="511">
        <v>10458591.781944444</v>
      </c>
      <c r="H102" s="524">
        <v>1411161.3681851514</v>
      </c>
      <c r="I102" s="573">
        <v>1411161.3681851514</v>
      </c>
      <c r="J102" s="505">
        <f t="shared" ref="J102:J155" si="11">+I102-H102</f>
        <v>0</v>
      </c>
      <c r="K102" s="505"/>
      <c r="L102" s="507">
        <f>H102</f>
        <v>1411161.3681851514</v>
      </c>
      <c r="M102" s="505">
        <f>IF(L102&lt;&gt;0,+H102-L102,0)</f>
        <v>0</v>
      </c>
      <c r="N102" s="507">
        <f>I102</f>
        <v>1411161.3681851514</v>
      </c>
      <c r="O102" s="505">
        <f t="shared" ref="O102:O155" si="12">IF(N102&lt;&gt;0,+I102-N102,0)</f>
        <v>0</v>
      </c>
      <c r="P102" s="505">
        <f t="shared" ref="P102:P155" si="13">+O102-M102</f>
        <v>0</v>
      </c>
      <c r="Q102" s="244"/>
      <c r="R102" s="244"/>
      <c r="S102" s="244"/>
      <c r="T102" s="244"/>
      <c r="U102" s="244"/>
    </row>
    <row r="103" spans="1:21" ht="12.5">
      <c r="B103" s="145" t="str">
        <f t="shared" si="10"/>
        <v/>
      </c>
      <c r="C103" s="496">
        <f>IF(D94="","-",+C102+1)</f>
        <v>2020</v>
      </c>
      <c r="D103" s="350">
        <f>IF(F102+SUM(E$100:E102)=D$93,F102,D$93-SUM(E$100:E102))</f>
        <v>10305028.379166666</v>
      </c>
      <c r="E103" s="510">
        <f t="shared" ref="E103:E134" si="14">IF(+J$97&lt;F102,J$97,D103)</f>
        <v>394877.32142857142</v>
      </c>
      <c r="F103" s="511">
        <f t="shared" ref="F103:F155" si="15">+D103-E103</f>
        <v>9910151.0577380955</v>
      </c>
      <c r="G103" s="511">
        <f t="shared" ref="G103:G155" si="16">+(F103+D103)/2</f>
        <v>10107589.718452381</v>
      </c>
      <c r="H103" s="646">
        <f>(D103+F103)/2*J$95+E103</f>
        <v>1470461.3095253243</v>
      </c>
      <c r="I103" s="573">
        <f t="shared" ref="I103:I155" si="17">+J$96*G103+E103</f>
        <v>1470461.3095253243</v>
      </c>
      <c r="J103" s="505">
        <f t="shared" si="11"/>
        <v>0</v>
      </c>
      <c r="K103" s="505"/>
      <c r="L103" s="513"/>
      <c r="M103" s="505">
        <f t="shared" ref="M103:M155" si="18">IF(L103&lt;&gt;0,+H103-L103,0)</f>
        <v>0</v>
      </c>
      <c r="N103" s="513"/>
      <c r="O103" s="505">
        <f t="shared" si="12"/>
        <v>0</v>
      </c>
      <c r="P103" s="505">
        <f t="shared" si="13"/>
        <v>0</v>
      </c>
      <c r="Q103" s="244"/>
      <c r="R103" s="244"/>
      <c r="S103" s="244"/>
      <c r="T103" s="244"/>
      <c r="U103" s="244"/>
    </row>
    <row r="104" spans="1:21" ht="12.5">
      <c r="B104" s="145" t="str">
        <f t="shared" si="10"/>
        <v/>
      </c>
      <c r="C104" s="496">
        <f>IF(D94="","-",+C103+1)</f>
        <v>2021</v>
      </c>
      <c r="D104" s="350">
        <f>IF(F103+SUM(E$100:E103)=D$93,F103,D$93-SUM(E$100:E103))</f>
        <v>9910151.0577380955</v>
      </c>
      <c r="E104" s="510">
        <f t="shared" si="14"/>
        <v>394877.32142857142</v>
      </c>
      <c r="F104" s="511">
        <f t="shared" si="15"/>
        <v>9515273.7363095246</v>
      </c>
      <c r="G104" s="511">
        <f t="shared" si="16"/>
        <v>9712712.3970238101</v>
      </c>
      <c r="H104" s="646">
        <f t="shared" ref="H104:H155" si="19">(D104+F104)/2*J$95+E104</f>
        <v>1428441.03208809</v>
      </c>
      <c r="I104" s="573">
        <f t="shared" si="17"/>
        <v>1428441.03208809</v>
      </c>
      <c r="J104" s="505">
        <f t="shared" si="11"/>
        <v>0</v>
      </c>
      <c r="K104" s="505"/>
      <c r="L104" s="513"/>
      <c r="M104" s="505">
        <f t="shared" si="18"/>
        <v>0</v>
      </c>
      <c r="N104" s="513"/>
      <c r="O104" s="505">
        <f t="shared" si="12"/>
        <v>0</v>
      </c>
      <c r="P104" s="505">
        <f t="shared" si="13"/>
        <v>0</v>
      </c>
      <c r="Q104" s="244"/>
      <c r="R104" s="244"/>
      <c r="S104" s="244"/>
      <c r="T104" s="244"/>
      <c r="U104" s="244"/>
    </row>
    <row r="105" spans="1:21" ht="12.5">
      <c r="B105" s="145" t="str">
        <f t="shared" si="10"/>
        <v/>
      </c>
      <c r="C105" s="496">
        <f>IF(D94="","-",+C104+1)</f>
        <v>2022</v>
      </c>
      <c r="D105" s="350">
        <f>IF(F104+SUM(E$100:E104)=D$93,F104,D$93-SUM(E$100:E104))</f>
        <v>9515273.7363095246</v>
      </c>
      <c r="E105" s="510">
        <f t="shared" si="14"/>
        <v>394877.32142857142</v>
      </c>
      <c r="F105" s="511">
        <f t="shared" si="15"/>
        <v>9120396.4148809537</v>
      </c>
      <c r="G105" s="511">
        <f t="shared" si="16"/>
        <v>9317835.0755952392</v>
      </c>
      <c r="H105" s="646">
        <f t="shared" si="19"/>
        <v>1386420.7546508557</v>
      </c>
      <c r="I105" s="573">
        <f t="shared" si="17"/>
        <v>1386420.7546508557</v>
      </c>
      <c r="J105" s="505">
        <f t="shared" si="11"/>
        <v>0</v>
      </c>
      <c r="K105" s="505"/>
      <c r="L105" s="513"/>
      <c r="M105" s="505">
        <f t="shared" si="18"/>
        <v>0</v>
      </c>
      <c r="N105" s="513"/>
      <c r="O105" s="505">
        <f t="shared" si="12"/>
        <v>0</v>
      </c>
      <c r="P105" s="505">
        <f t="shared" si="13"/>
        <v>0</v>
      </c>
      <c r="Q105" s="244"/>
      <c r="R105" s="244"/>
      <c r="S105" s="244"/>
      <c r="T105" s="244"/>
      <c r="U105" s="244"/>
    </row>
    <row r="106" spans="1:21" ht="12.5">
      <c r="B106" s="145" t="str">
        <f t="shared" si="10"/>
        <v/>
      </c>
      <c r="C106" s="496">
        <f>IF(D94="","-",+C105+1)</f>
        <v>2023</v>
      </c>
      <c r="D106" s="350">
        <f>IF(F105+SUM(E$100:E105)=D$93,F105,D$93-SUM(E$100:E105))</f>
        <v>9120396.4148809537</v>
      </c>
      <c r="E106" s="510">
        <f t="shared" si="14"/>
        <v>394877.32142857142</v>
      </c>
      <c r="F106" s="511">
        <f t="shared" si="15"/>
        <v>8725519.0934523828</v>
      </c>
      <c r="G106" s="511">
        <f t="shared" si="16"/>
        <v>8922957.7541666683</v>
      </c>
      <c r="H106" s="646">
        <f t="shared" si="19"/>
        <v>1344400.4772136214</v>
      </c>
      <c r="I106" s="573">
        <f t="shared" si="17"/>
        <v>1344400.4772136214</v>
      </c>
      <c r="J106" s="505">
        <f t="shared" si="11"/>
        <v>0</v>
      </c>
      <c r="K106" s="505"/>
      <c r="L106" s="513"/>
      <c r="M106" s="505">
        <f t="shared" si="18"/>
        <v>0</v>
      </c>
      <c r="N106" s="513"/>
      <c r="O106" s="505">
        <f t="shared" si="12"/>
        <v>0</v>
      </c>
      <c r="P106" s="505">
        <f t="shared" si="13"/>
        <v>0</v>
      </c>
      <c r="Q106" s="244"/>
      <c r="R106" s="244"/>
      <c r="S106" s="244"/>
      <c r="T106" s="244"/>
      <c r="U106" s="244"/>
    </row>
    <row r="107" spans="1:21" ht="12.5">
      <c r="B107" s="145" t="str">
        <f t="shared" si="10"/>
        <v/>
      </c>
      <c r="C107" s="496">
        <f>IF(D94="","-",+C106+1)</f>
        <v>2024</v>
      </c>
      <c r="D107" s="350">
        <f>IF(F106+SUM(E$100:E106)=D$93,F106,D$93-SUM(E$100:E106))</f>
        <v>8725519.0934523828</v>
      </c>
      <c r="E107" s="510">
        <f t="shared" si="14"/>
        <v>394877.32142857142</v>
      </c>
      <c r="F107" s="511">
        <f t="shared" si="15"/>
        <v>8330641.772023811</v>
      </c>
      <c r="G107" s="511">
        <f t="shared" si="16"/>
        <v>8528080.4327380974</v>
      </c>
      <c r="H107" s="646">
        <f t="shared" si="19"/>
        <v>1302380.1997763871</v>
      </c>
      <c r="I107" s="573">
        <f t="shared" si="17"/>
        <v>1302380.1997763871</v>
      </c>
      <c r="J107" s="505">
        <f t="shared" si="11"/>
        <v>0</v>
      </c>
      <c r="K107" s="505"/>
      <c r="L107" s="513"/>
      <c r="M107" s="505">
        <f t="shared" si="18"/>
        <v>0</v>
      </c>
      <c r="N107" s="513"/>
      <c r="O107" s="505">
        <f t="shared" si="12"/>
        <v>0</v>
      </c>
      <c r="P107" s="505">
        <f t="shared" si="13"/>
        <v>0</v>
      </c>
      <c r="Q107" s="244"/>
      <c r="R107" s="244"/>
      <c r="S107" s="244"/>
      <c r="T107" s="244"/>
      <c r="U107" s="244"/>
    </row>
    <row r="108" spans="1:21" ht="12.5">
      <c r="B108" s="145" t="str">
        <f t="shared" si="10"/>
        <v/>
      </c>
      <c r="C108" s="496">
        <f>IF(D94="","-",+C107+1)</f>
        <v>2025</v>
      </c>
      <c r="D108" s="350">
        <f>IF(F107+SUM(E$100:E107)=D$93,F107,D$93-SUM(E$100:E107))</f>
        <v>8330641.772023811</v>
      </c>
      <c r="E108" s="510">
        <f t="shared" si="14"/>
        <v>394877.32142857142</v>
      </c>
      <c r="F108" s="511">
        <f t="shared" si="15"/>
        <v>7935764.4505952392</v>
      </c>
      <c r="G108" s="511">
        <f t="shared" si="16"/>
        <v>8133203.1113095246</v>
      </c>
      <c r="H108" s="646">
        <f t="shared" si="19"/>
        <v>1260359.9223391528</v>
      </c>
      <c r="I108" s="573">
        <f t="shared" si="17"/>
        <v>1260359.9223391528</v>
      </c>
      <c r="J108" s="505">
        <f t="shared" si="11"/>
        <v>0</v>
      </c>
      <c r="K108" s="505"/>
      <c r="L108" s="513"/>
      <c r="M108" s="505">
        <f t="shared" si="18"/>
        <v>0</v>
      </c>
      <c r="N108" s="513"/>
      <c r="O108" s="505">
        <f t="shared" si="12"/>
        <v>0</v>
      </c>
      <c r="P108" s="505">
        <f t="shared" si="13"/>
        <v>0</v>
      </c>
      <c r="Q108" s="244"/>
      <c r="R108" s="244"/>
      <c r="S108" s="244"/>
      <c r="T108" s="244"/>
      <c r="U108" s="244"/>
    </row>
    <row r="109" spans="1:21" ht="12.5">
      <c r="B109" s="145" t="str">
        <f t="shared" si="10"/>
        <v/>
      </c>
      <c r="C109" s="496">
        <f>IF(D94="","-",+C108+1)</f>
        <v>2026</v>
      </c>
      <c r="D109" s="350">
        <f>IF(F108+SUM(E$100:E108)=D$93,F108,D$93-SUM(E$100:E108))</f>
        <v>7935764.4505952392</v>
      </c>
      <c r="E109" s="510">
        <f t="shared" si="14"/>
        <v>394877.32142857142</v>
      </c>
      <c r="F109" s="511">
        <f t="shared" si="15"/>
        <v>7540887.1291666673</v>
      </c>
      <c r="G109" s="511">
        <f t="shared" si="16"/>
        <v>7738325.7898809537</v>
      </c>
      <c r="H109" s="646">
        <f t="shared" si="19"/>
        <v>1218339.6449019185</v>
      </c>
      <c r="I109" s="573">
        <f t="shared" si="17"/>
        <v>1218339.6449019185</v>
      </c>
      <c r="J109" s="505">
        <f t="shared" si="11"/>
        <v>0</v>
      </c>
      <c r="K109" s="505"/>
      <c r="L109" s="513"/>
      <c r="M109" s="505">
        <f t="shared" si="18"/>
        <v>0</v>
      </c>
      <c r="N109" s="513"/>
      <c r="O109" s="505">
        <f t="shared" si="12"/>
        <v>0</v>
      </c>
      <c r="P109" s="505">
        <f t="shared" si="13"/>
        <v>0</v>
      </c>
      <c r="Q109" s="244"/>
      <c r="R109" s="244"/>
      <c r="S109" s="244"/>
      <c r="T109" s="244"/>
      <c r="U109" s="244"/>
    </row>
    <row r="110" spans="1:21" ht="12.5">
      <c r="B110" s="145" t="str">
        <f t="shared" si="10"/>
        <v/>
      </c>
      <c r="C110" s="496">
        <f>IF(D94="","-",+C109+1)</f>
        <v>2027</v>
      </c>
      <c r="D110" s="350">
        <f>IF(F109+SUM(E$100:E109)=D$93,F109,D$93-SUM(E$100:E109))</f>
        <v>7540887.1291666673</v>
      </c>
      <c r="E110" s="510">
        <f t="shared" si="14"/>
        <v>394877.32142857142</v>
      </c>
      <c r="F110" s="511">
        <f t="shared" si="15"/>
        <v>7146009.8077380955</v>
      </c>
      <c r="G110" s="511">
        <f t="shared" si="16"/>
        <v>7343448.468452381</v>
      </c>
      <c r="H110" s="646">
        <f t="shared" si="19"/>
        <v>1176319.3674646839</v>
      </c>
      <c r="I110" s="573">
        <f t="shared" si="17"/>
        <v>1176319.3674646839</v>
      </c>
      <c r="J110" s="505">
        <f t="shared" si="11"/>
        <v>0</v>
      </c>
      <c r="K110" s="505"/>
      <c r="L110" s="513"/>
      <c r="M110" s="505">
        <f t="shared" si="18"/>
        <v>0</v>
      </c>
      <c r="N110" s="513"/>
      <c r="O110" s="505">
        <f t="shared" si="12"/>
        <v>0</v>
      </c>
      <c r="P110" s="505">
        <f t="shared" si="13"/>
        <v>0</v>
      </c>
      <c r="Q110" s="244"/>
      <c r="R110" s="244"/>
      <c r="S110" s="244"/>
      <c r="T110" s="244"/>
      <c r="U110" s="244"/>
    </row>
    <row r="111" spans="1:21" ht="12.5">
      <c r="B111" s="145" t="str">
        <f t="shared" si="10"/>
        <v/>
      </c>
      <c r="C111" s="496">
        <f>IF(D94="","-",+C110+1)</f>
        <v>2028</v>
      </c>
      <c r="D111" s="350">
        <f>IF(F110+SUM(E$100:E110)=D$93,F110,D$93-SUM(E$100:E110))</f>
        <v>7146009.8077380955</v>
      </c>
      <c r="E111" s="510">
        <f t="shared" si="14"/>
        <v>394877.32142857142</v>
      </c>
      <c r="F111" s="511">
        <f t="shared" si="15"/>
        <v>6751132.4863095237</v>
      </c>
      <c r="G111" s="511">
        <f t="shared" si="16"/>
        <v>6948571.1470238101</v>
      </c>
      <c r="H111" s="646">
        <f t="shared" si="19"/>
        <v>1134299.0900274497</v>
      </c>
      <c r="I111" s="573">
        <f t="shared" si="17"/>
        <v>1134299.0900274497</v>
      </c>
      <c r="J111" s="505">
        <f t="shared" si="11"/>
        <v>0</v>
      </c>
      <c r="K111" s="505"/>
      <c r="L111" s="513"/>
      <c r="M111" s="505">
        <f t="shared" si="18"/>
        <v>0</v>
      </c>
      <c r="N111" s="513"/>
      <c r="O111" s="505">
        <f t="shared" si="12"/>
        <v>0</v>
      </c>
      <c r="P111" s="505">
        <f t="shared" si="13"/>
        <v>0</v>
      </c>
      <c r="Q111" s="244"/>
      <c r="R111" s="244"/>
      <c r="S111" s="244"/>
      <c r="T111" s="244"/>
      <c r="U111" s="244"/>
    </row>
    <row r="112" spans="1:21" ht="12.5">
      <c r="B112" s="145" t="str">
        <f t="shared" si="10"/>
        <v/>
      </c>
      <c r="C112" s="496">
        <f>IF(D94="","-",+C111+1)</f>
        <v>2029</v>
      </c>
      <c r="D112" s="350">
        <f>IF(F111+SUM(E$100:E111)=D$93,F111,D$93-SUM(E$100:E111))</f>
        <v>6751132.4863095237</v>
      </c>
      <c r="E112" s="510">
        <f t="shared" si="14"/>
        <v>394877.32142857142</v>
      </c>
      <c r="F112" s="511">
        <f t="shared" si="15"/>
        <v>6356255.1648809519</v>
      </c>
      <c r="G112" s="511">
        <f t="shared" si="16"/>
        <v>6553693.8255952373</v>
      </c>
      <c r="H112" s="646">
        <f t="shared" si="19"/>
        <v>1092278.8125902151</v>
      </c>
      <c r="I112" s="573">
        <f t="shared" si="17"/>
        <v>1092278.8125902151</v>
      </c>
      <c r="J112" s="505">
        <f t="shared" si="11"/>
        <v>0</v>
      </c>
      <c r="K112" s="505"/>
      <c r="L112" s="513"/>
      <c r="M112" s="505">
        <f t="shared" si="18"/>
        <v>0</v>
      </c>
      <c r="N112" s="513"/>
      <c r="O112" s="505">
        <f t="shared" si="12"/>
        <v>0</v>
      </c>
      <c r="P112" s="505">
        <f t="shared" si="13"/>
        <v>0</v>
      </c>
      <c r="Q112" s="244"/>
      <c r="R112" s="244"/>
      <c r="S112" s="244"/>
      <c r="T112" s="244"/>
      <c r="U112" s="244"/>
    </row>
    <row r="113" spans="2:21" ht="12.5">
      <c r="B113" s="145" t="str">
        <f t="shared" si="10"/>
        <v/>
      </c>
      <c r="C113" s="496">
        <f>IF(D94="","-",+C112+1)</f>
        <v>2030</v>
      </c>
      <c r="D113" s="350">
        <f>IF(F112+SUM(E$100:E112)=D$93,F112,D$93-SUM(E$100:E112))</f>
        <v>6356255.1648809519</v>
      </c>
      <c r="E113" s="510">
        <f t="shared" si="14"/>
        <v>394877.32142857142</v>
      </c>
      <c r="F113" s="511">
        <f t="shared" si="15"/>
        <v>5961377.84345238</v>
      </c>
      <c r="G113" s="511">
        <f t="shared" si="16"/>
        <v>6158816.5041666664</v>
      </c>
      <c r="H113" s="646">
        <f t="shared" si="19"/>
        <v>1050258.5351529811</v>
      </c>
      <c r="I113" s="573">
        <f t="shared" si="17"/>
        <v>1050258.5351529811</v>
      </c>
      <c r="J113" s="505">
        <f t="shared" si="11"/>
        <v>0</v>
      </c>
      <c r="K113" s="505"/>
      <c r="L113" s="513"/>
      <c r="M113" s="505">
        <f t="shared" si="18"/>
        <v>0</v>
      </c>
      <c r="N113" s="513"/>
      <c r="O113" s="505">
        <f t="shared" si="12"/>
        <v>0</v>
      </c>
      <c r="P113" s="505">
        <f t="shared" si="13"/>
        <v>0</v>
      </c>
      <c r="Q113" s="244"/>
      <c r="R113" s="244"/>
      <c r="S113" s="244"/>
      <c r="T113" s="244"/>
      <c r="U113" s="244"/>
    </row>
    <row r="114" spans="2:21" ht="12.5">
      <c r="B114" s="145" t="str">
        <f t="shared" si="10"/>
        <v/>
      </c>
      <c r="C114" s="496">
        <f>IF(D94="","-",+C113+1)</f>
        <v>2031</v>
      </c>
      <c r="D114" s="350">
        <f>IF(F113+SUM(E$100:E113)=D$93,F113,D$93-SUM(E$100:E113))</f>
        <v>5961377.84345238</v>
      </c>
      <c r="E114" s="510">
        <f t="shared" si="14"/>
        <v>394877.32142857142</v>
      </c>
      <c r="F114" s="511">
        <f t="shared" si="15"/>
        <v>5566500.5220238082</v>
      </c>
      <c r="G114" s="511">
        <f t="shared" si="16"/>
        <v>5763939.1827380937</v>
      </c>
      <c r="H114" s="646">
        <f t="shared" si="19"/>
        <v>1008238.2577157465</v>
      </c>
      <c r="I114" s="573">
        <f t="shared" si="17"/>
        <v>1008238.2577157465</v>
      </c>
      <c r="J114" s="505">
        <f t="shared" si="11"/>
        <v>0</v>
      </c>
      <c r="K114" s="505"/>
      <c r="L114" s="513"/>
      <c r="M114" s="505">
        <f t="shared" si="18"/>
        <v>0</v>
      </c>
      <c r="N114" s="513"/>
      <c r="O114" s="505">
        <f t="shared" si="12"/>
        <v>0</v>
      </c>
      <c r="P114" s="505">
        <f t="shared" si="13"/>
        <v>0</v>
      </c>
      <c r="Q114" s="244"/>
      <c r="R114" s="244"/>
      <c r="S114" s="244"/>
      <c r="T114" s="244"/>
      <c r="U114" s="244"/>
    </row>
    <row r="115" spans="2:21" ht="12.5">
      <c r="B115" s="145" t="str">
        <f t="shared" si="10"/>
        <v/>
      </c>
      <c r="C115" s="496">
        <f>IF(D94="","-",+C114+1)</f>
        <v>2032</v>
      </c>
      <c r="D115" s="350">
        <f>IF(F114+SUM(E$100:E114)=D$93,F114,D$93-SUM(E$100:E114))</f>
        <v>5566500.5220238082</v>
      </c>
      <c r="E115" s="510">
        <f t="shared" si="14"/>
        <v>394877.32142857142</v>
      </c>
      <c r="F115" s="511">
        <f t="shared" si="15"/>
        <v>5171623.2005952364</v>
      </c>
      <c r="G115" s="511">
        <f t="shared" si="16"/>
        <v>5369061.8613095228</v>
      </c>
      <c r="H115" s="646">
        <f t="shared" si="19"/>
        <v>966217.98027851223</v>
      </c>
      <c r="I115" s="573">
        <f t="shared" si="17"/>
        <v>966217.98027851223</v>
      </c>
      <c r="J115" s="505">
        <f t="shared" si="11"/>
        <v>0</v>
      </c>
      <c r="K115" s="505"/>
      <c r="L115" s="513"/>
      <c r="M115" s="505">
        <f t="shared" si="18"/>
        <v>0</v>
      </c>
      <c r="N115" s="513"/>
      <c r="O115" s="505">
        <f t="shared" si="12"/>
        <v>0</v>
      </c>
      <c r="P115" s="505">
        <f t="shared" si="13"/>
        <v>0</v>
      </c>
      <c r="Q115" s="244"/>
      <c r="R115" s="244"/>
      <c r="S115" s="244"/>
      <c r="T115" s="244"/>
      <c r="U115" s="244"/>
    </row>
    <row r="116" spans="2:21" ht="12.5">
      <c r="B116" s="145" t="str">
        <f t="shared" si="10"/>
        <v/>
      </c>
      <c r="C116" s="496">
        <f>IF(D94="","-",+C115+1)</f>
        <v>2033</v>
      </c>
      <c r="D116" s="350">
        <f>IF(F115+SUM(E$100:E115)=D$93,F115,D$93-SUM(E$100:E115))</f>
        <v>5171623.2005952364</v>
      </c>
      <c r="E116" s="510">
        <f t="shared" si="14"/>
        <v>394877.32142857142</v>
      </c>
      <c r="F116" s="511">
        <f t="shared" si="15"/>
        <v>4776745.8791666646</v>
      </c>
      <c r="G116" s="511">
        <f t="shared" si="16"/>
        <v>4974184.53988095</v>
      </c>
      <c r="H116" s="646">
        <f t="shared" si="19"/>
        <v>924197.7028412777</v>
      </c>
      <c r="I116" s="573">
        <f t="shared" si="17"/>
        <v>924197.7028412777</v>
      </c>
      <c r="J116" s="505">
        <f t="shared" si="11"/>
        <v>0</v>
      </c>
      <c r="K116" s="505"/>
      <c r="L116" s="513"/>
      <c r="M116" s="505">
        <f t="shared" si="18"/>
        <v>0</v>
      </c>
      <c r="N116" s="513"/>
      <c r="O116" s="505">
        <f t="shared" si="12"/>
        <v>0</v>
      </c>
      <c r="P116" s="505">
        <f t="shared" si="13"/>
        <v>0</v>
      </c>
      <c r="Q116" s="244"/>
      <c r="R116" s="244"/>
      <c r="S116" s="244"/>
      <c r="T116" s="244"/>
      <c r="U116" s="244"/>
    </row>
    <row r="117" spans="2:21" ht="12.5">
      <c r="B117" s="145" t="str">
        <f t="shared" si="10"/>
        <v/>
      </c>
      <c r="C117" s="496">
        <f>IF(D94="","-",+C116+1)</f>
        <v>2034</v>
      </c>
      <c r="D117" s="350">
        <f>IF(F116+SUM(E$100:E116)=D$93,F116,D$93-SUM(E$100:E116))</f>
        <v>4776745.8791666646</v>
      </c>
      <c r="E117" s="510">
        <f t="shared" si="14"/>
        <v>394877.32142857142</v>
      </c>
      <c r="F117" s="511">
        <f t="shared" si="15"/>
        <v>4381868.5577380927</v>
      </c>
      <c r="G117" s="511">
        <f t="shared" si="16"/>
        <v>4579307.2184523791</v>
      </c>
      <c r="H117" s="646">
        <f t="shared" si="19"/>
        <v>882177.42540404352</v>
      </c>
      <c r="I117" s="573">
        <f t="shared" si="17"/>
        <v>882177.42540404352</v>
      </c>
      <c r="J117" s="505">
        <f t="shared" si="11"/>
        <v>0</v>
      </c>
      <c r="K117" s="505"/>
      <c r="L117" s="513"/>
      <c r="M117" s="505">
        <f t="shared" si="18"/>
        <v>0</v>
      </c>
      <c r="N117" s="513"/>
      <c r="O117" s="505">
        <f t="shared" si="12"/>
        <v>0</v>
      </c>
      <c r="P117" s="505">
        <f t="shared" si="13"/>
        <v>0</v>
      </c>
      <c r="Q117" s="244"/>
      <c r="R117" s="244"/>
      <c r="S117" s="244"/>
      <c r="T117" s="244"/>
      <c r="U117" s="244"/>
    </row>
    <row r="118" spans="2:21" ht="12.5">
      <c r="B118" s="145" t="str">
        <f t="shared" si="10"/>
        <v/>
      </c>
      <c r="C118" s="496">
        <f>IF(D94="","-",+C117+1)</f>
        <v>2035</v>
      </c>
      <c r="D118" s="350">
        <f>IF(F117+SUM(E$100:E117)=D$93,F117,D$93-SUM(E$100:E117))</f>
        <v>4381868.5577380927</v>
      </c>
      <c r="E118" s="510">
        <f t="shared" si="14"/>
        <v>394877.32142857142</v>
      </c>
      <c r="F118" s="511">
        <f t="shared" si="15"/>
        <v>3986991.2363095214</v>
      </c>
      <c r="G118" s="511">
        <f t="shared" si="16"/>
        <v>4184429.8970238073</v>
      </c>
      <c r="H118" s="646">
        <f t="shared" si="19"/>
        <v>840157.14796680911</v>
      </c>
      <c r="I118" s="573">
        <f t="shared" si="17"/>
        <v>840157.14796680911</v>
      </c>
      <c r="J118" s="505">
        <f t="shared" si="11"/>
        <v>0</v>
      </c>
      <c r="K118" s="505"/>
      <c r="L118" s="513"/>
      <c r="M118" s="505">
        <f t="shared" si="18"/>
        <v>0</v>
      </c>
      <c r="N118" s="513"/>
      <c r="O118" s="505">
        <f t="shared" si="12"/>
        <v>0</v>
      </c>
      <c r="P118" s="505">
        <f t="shared" si="13"/>
        <v>0</v>
      </c>
      <c r="Q118" s="244"/>
      <c r="R118" s="244"/>
      <c r="S118" s="244"/>
      <c r="T118" s="244"/>
      <c r="U118" s="244"/>
    </row>
    <row r="119" spans="2:21" ht="12.5">
      <c r="B119" s="145" t="str">
        <f t="shared" si="10"/>
        <v/>
      </c>
      <c r="C119" s="496">
        <f>IF(D94="","-",+C118+1)</f>
        <v>2036</v>
      </c>
      <c r="D119" s="350">
        <f>IF(F118+SUM(E$100:E118)=D$93,F118,D$93-SUM(E$100:E118))</f>
        <v>3986991.2363095214</v>
      </c>
      <c r="E119" s="510">
        <f t="shared" si="14"/>
        <v>394877.32142857142</v>
      </c>
      <c r="F119" s="511">
        <f t="shared" si="15"/>
        <v>3592113.91488095</v>
      </c>
      <c r="G119" s="511">
        <f t="shared" si="16"/>
        <v>3789552.5755952355</v>
      </c>
      <c r="H119" s="646">
        <f t="shared" si="19"/>
        <v>798136.87052957481</v>
      </c>
      <c r="I119" s="573">
        <f t="shared" si="17"/>
        <v>798136.87052957481</v>
      </c>
      <c r="J119" s="505">
        <f t="shared" si="11"/>
        <v>0</v>
      </c>
      <c r="K119" s="505"/>
      <c r="L119" s="513"/>
      <c r="M119" s="505">
        <f t="shared" si="18"/>
        <v>0</v>
      </c>
      <c r="N119" s="513"/>
      <c r="O119" s="505">
        <f t="shared" si="12"/>
        <v>0</v>
      </c>
      <c r="P119" s="505">
        <f t="shared" si="13"/>
        <v>0</v>
      </c>
      <c r="Q119" s="244"/>
      <c r="R119" s="244"/>
      <c r="S119" s="244"/>
      <c r="T119" s="244"/>
      <c r="U119" s="244"/>
    </row>
    <row r="120" spans="2:21" ht="12.5">
      <c r="B120" s="145" t="str">
        <f t="shared" si="10"/>
        <v/>
      </c>
      <c r="C120" s="496">
        <f>IF(D94="","-",+C119+1)</f>
        <v>2037</v>
      </c>
      <c r="D120" s="350">
        <f>IF(F119+SUM(E$100:E119)=D$93,F119,D$93-SUM(E$100:E119))</f>
        <v>3592113.91488095</v>
      </c>
      <c r="E120" s="510">
        <f t="shared" si="14"/>
        <v>394877.32142857142</v>
      </c>
      <c r="F120" s="511">
        <f t="shared" si="15"/>
        <v>3197236.5934523786</v>
      </c>
      <c r="G120" s="511">
        <f t="shared" si="16"/>
        <v>3394675.2541666646</v>
      </c>
      <c r="H120" s="646">
        <f t="shared" si="19"/>
        <v>756116.59309234051</v>
      </c>
      <c r="I120" s="573">
        <f t="shared" si="17"/>
        <v>756116.59309234051</v>
      </c>
      <c r="J120" s="505">
        <f t="shared" si="11"/>
        <v>0</v>
      </c>
      <c r="K120" s="505"/>
      <c r="L120" s="513"/>
      <c r="M120" s="505">
        <f t="shared" si="18"/>
        <v>0</v>
      </c>
      <c r="N120" s="513"/>
      <c r="O120" s="505">
        <f t="shared" si="12"/>
        <v>0</v>
      </c>
      <c r="P120" s="505">
        <f t="shared" si="13"/>
        <v>0</v>
      </c>
      <c r="Q120" s="244"/>
      <c r="R120" s="244"/>
      <c r="S120" s="244"/>
      <c r="T120" s="244"/>
      <c r="U120" s="244"/>
    </row>
    <row r="121" spans="2:21" ht="12.5">
      <c r="B121" s="145" t="str">
        <f t="shared" si="10"/>
        <v/>
      </c>
      <c r="C121" s="496">
        <f>IF(D94="","-",+C120+1)</f>
        <v>2038</v>
      </c>
      <c r="D121" s="350">
        <f>IF(F120+SUM(E$100:E120)=D$93,F120,D$93-SUM(E$100:E120))</f>
        <v>3197236.5934523786</v>
      </c>
      <c r="E121" s="510">
        <f t="shared" si="14"/>
        <v>394877.32142857142</v>
      </c>
      <c r="F121" s="511">
        <f t="shared" si="15"/>
        <v>2802359.2720238073</v>
      </c>
      <c r="G121" s="511">
        <f t="shared" si="16"/>
        <v>2999797.9327380927</v>
      </c>
      <c r="H121" s="646">
        <f t="shared" si="19"/>
        <v>714096.31565510621</v>
      </c>
      <c r="I121" s="573">
        <f t="shared" si="17"/>
        <v>714096.31565510621</v>
      </c>
      <c r="J121" s="505">
        <f t="shared" si="11"/>
        <v>0</v>
      </c>
      <c r="K121" s="505"/>
      <c r="L121" s="513"/>
      <c r="M121" s="505">
        <f t="shared" si="18"/>
        <v>0</v>
      </c>
      <c r="N121" s="513"/>
      <c r="O121" s="505">
        <f t="shared" si="12"/>
        <v>0</v>
      </c>
      <c r="P121" s="505">
        <f t="shared" si="13"/>
        <v>0</v>
      </c>
      <c r="Q121" s="244"/>
      <c r="R121" s="244"/>
      <c r="S121" s="244"/>
      <c r="T121" s="244"/>
      <c r="U121" s="244"/>
    </row>
    <row r="122" spans="2:21" ht="12.5">
      <c r="B122" s="145" t="str">
        <f t="shared" si="10"/>
        <v/>
      </c>
      <c r="C122" s="496">
        <f>IF(D94="","-",+C121+1)</f>
        <v>2039</v>
      </c>
      <c r="D122" s="350">
        <f>IF(F121+SUM(E$100:E121)=D$93,F121,D$93-SUM(E$100:E121))</f>
        <v>2802359.2720238073</v>
      </c>
      <c r="E122" s="510">
        <f t="shared" si="14"/>
        <v>394877.32142857142</v>
      </c>
      <c r="F122" s="511">
        <f t="shared" si="15"/>
        <v>2407481.9505952359</v>
      </c>
      <c r="G122" s="511">
        <f t="shared" si="16"/>
        <v>2604920.6113095218</v>
      </c>
      <c r="H122" s="646">
        <f t="shared" si="19"/>
        <v>672076.03821787192</v>
      </c>
      <c r="I122" s="573">
        <f t="shared" si="17"/>
        <v>672076.03821787192</v>
      </c>
      <c r="J122" s="505">
        <f t="shared" si="11"/>
        <v>0</v>
      </c>
      <c r="K122" s="505"/>
      <c r="L122" s="513"/>
      <c r="M122" s="505">
        <f t="shared" si="18"/>
        <v>0</v>
      </c>
      <c r="N122" s="513"/>
      <c r="O122" s="505">
        <f t="shared" si="12"/>
        <v>0</v>
      </c>
      <c r="P122" s="505">
        <f t="shared" si="13"/>
        <v>0</v>
      </c>
      <c r="Q122" s="244"/>
      <c r="R122" s="244"/>
      <c r="S122" s="244"/>
      <c r="T122" s="244"/>
      <c r="U122" s="244"/>
    </row>
    <row r="123" spans="2:21" ht="12.5">
      <c r="B123" s="145" t="str">
        <f t="shared" si="10"/>
        <v/>
      </c>
      <c r="C123" s="496">
        <f>IF(D94="","-",+C122+1)</f>
        <v>2040</v>
      </c>
      <c r="D123" s="350">
        <f>IF(F122+SUM(E$100:E122)=D$93,F122,D$93-SUM(E$100:E122))</f>
        <v>2407481.9505952359</v>
      </c>
      <c r="E123" s="510">
        <f t="shared" si="14"/>
        <v>394877.32142857142</v>
      </c>
      <c r="F123" s="511">
        <f t="shared" si="15"/>
        <v>2012604.6291666646</v>
      </c>
      <c r="G123" s="511">
        <f t="shared" si="16"/>
        <v>2210043.28988095</v>
      </c>
      <c r="H123" s="646">
        <f t="shared" si="19"/>
        <v>630055.7607806375</v>
      </c>
      <c r="I123" s="573">
        <f t="shared" si="17"/>
        <v>630055.7607806375</v>
      </c>
      <c r="J123" s="505">
        <f t="shared" si="11"/>
        <v>0</v>
      </c>
      <c r="K123" s="505"/>
      <c r="L123" s="513"/>
      <c r="M123" s="505">
        <f t="shared" si="18"/>
        <v>0</v>
      </c>
      <c r="N123" s="513"/>
      <c r="O123" s="505">
        <f t="shared" si="12"/>
        <v>0</v>
      </c>
      <c r="P123" s="505">
        <f t="shared" si="13"/>
        <v>0</v>
      </c>
      <c r="Q123" s="244"/>
      <c r="R123" s="244"/>
      <c r="S123" s="244"/>
      <c r="T123" s="244"/>
      <c r="U123" s="244"/>
    </row>
    <row r="124" spans="2:21" ht="12.5">
      <c r="B124" s="145" t="str">
        <f t="shared" si="10"/>
        <v/>
      </c>
      <c r="C124" s="496">
        <f>IF(D94="","-",+C123+1)</f>
        <v>2041</v>
      </c>
      <c r="D124" s="350">
        <f>IF(F123+SUM(E$100:E123)=D$93,F123,D$93-SUM(E$100:E123))</f>
        <v>2012604.6291666646</v>
      </c>
      <c r="E124" s="510">
        <f t="shared" si="14"/>
        <v>394877.32142857142</v>
      </c>
      <c r="F124" s="511">
        <f t="shared" si="15"/>
        <v>1617727.3077380932</v>
      </c>
      <c r="G124" s="511">
        <f t="shared" si="16"/>
        <v>1815165.9684523789</v>
      </c>
      <c r="H124" s="646">
        <f t="shared" si="19"/>
        <v>588035.4833434032</v>
      </c>
      <c r="I124" s="573">
        <f t="shared" si="17"/>
        <v>588035.4833434032</v>
      </c>
      <c r="J124" s="505">
        <f t="shared" si="11"/>
        <v>0</v>
      </c>
      <c r="K124" s="505"/>
      <c r="L124" s="513"/>
      <c r="M124" s="505">
        <f t="shared" si="18"/>
        <v>0</v>
      </c>
      <c r="N124" s="513"/>
      <c r="O124" s="505">
        <f t="shared" si="12"/>
        <v>0</v>
      </c>
      <c r="P124" s="505">
        <f t="shared" si="13"/>
        <v>0</v>
      </c>
      <c r="Q124" s="244"/>
      <c r="R124" s="244"/>
      <c r="S124" s="244"/>
      <c r="T124" s="244"/>
      <c r="U124" s="244"/>
    </row>
    <row r="125" spans="2:21" ht="12.5">
      <c r="B125" s="145" t="str">
        <f t="shared" si="10"/>
        <v/>
      </c>
      <c r="C125" s="496">
        <f>IF(D94="","-",+C124+1)</f>
        <v>2042</v>
      </c>
      <c r="D125" s="350">
        <f>IF(F124+SUM(E$100:E124)=D$93,F124,D$93-SUM(E$100:E124))</f>
        <v>1617727.3077380932</v>
      </c>
      <c r="E125" s="510">
        <f t="shared" si="14"/>
        <v>394877.32142857142</v>
      </c>
      <c r="F125" s="511">
        <f t="shared" si="15"/>
        <v>1222849.9863095218</v>
      </c>
      <c r="G125" s="511">
        <f t="shared" si="16"/>
        <v>1420288.6470238075</v>
      </c>
      <c r="H125" s="646">
        <f t="shared" si="19"/>
        <v>546015.20590616891</v>
      </c>
      <c r="I125" s="573">
        <f t="shared" si="17"/>
        <v>546015.20590616891</v>
      </c>
      <c r="J125" s="505">
        <f t="shared" si="11"/>
        <v>0</v>
      </c>
      <c r="K125" s="505"/>
      <c r="L125" s="513"/>
      <c r="M125" s="505">
        <f t="shared" si="18"/>
        <v>0</v>
      </c>
      <c r="N125" s="513"/>
      <c r="O125" s="505">
        <f t="shared" si="12"/>
        <v>0</v>
      </c>
      <c r="P125" s="505">
        <f t="shared" si="13"/>
        <v>0</v>
      </c>
      <c r="Q125" s="244"/>
      <c r="R125" s="244"/>
      <c r="S125" s="244"/>
      <c r="T125" s="244"/>
      <c r="U125" s="244"/>
    </row>
    <row r="126" spans="2:21" ht="12.5">
      <c r="B126" s="145" t="str">
        <f t="shared" si="10"/>
        <v/>
      </c>
      <c r="C126" s="496">
        <f>IF(D94="","-",+C125+1)</f>
        <v>2043</v>
      </c>
      <c r="D126" s="350">
        <f>IF(F125+SUM(E$100:E125)=D$93,F125,D$93-SUM(E$100:E125))</f>
        <v>1222849.9863095218</v>
      </c>
      <c r="E126" s="510">
        <f t="shared" si="14"/>
        <v>394877.32142857142</v>
      </c>
      <c r="F126" s="511">
        <f t="shared" si="15"/>
        <v>827972.66488095047</v>
      </c>
      <c r="G126" s="511">
        <f t="shared" si="16"/>
        <v>1025411.3255952362</v>
      </c>
      <c r="H126" s="646">
        <f t="shared" si="19"/>
        <v>503994.92846893461</v>
      </c>
      <c r="I126" s="573">
        <f t="shared" si="17"/>
        <v>503994.92846893461</v>
      </c>
      <c r="J126" s="505">
        <f t="shared" si="11"/>
        <v>0</v>
      </c>
      <c r="K126" s="505"/>
      <c r="L126" s="513"/>
      <c r="M126" s="505">
        <f t="shared" si="18"/>
        <v>0</v>
      </c>
      <c r="N126" s="513"/>
      <c r="O126" s="505">
        <f t="shared" si="12"/>
        <v>0</v>
      </c>
      <c r="P126" s="505">
        <f t="shared" si="13"/>
        <v>0</v>
      </c>
      <c r="Q126" s="244"/>
      <c r="R126" s="244"/>
      <c r="S126" s="244"/>
      <c r="T126" s="244"/>
      <c r="U126" s="244"/>
    </row>
    <row r="127" spans="2:21" ht="12.5">
      <c r="B127" s="145" t="str">
        <f t="shared" si="10"/>
        <v/>
      </c>
      <c r="C127" s="496">
        <f>IF(D94="","-",+C126+1)</f>
        <v>2044</v>
      </c>
      <c r="D127" s="350">
        <f>IF(F126+SUM(E$100:E126)=D$93,F126,D$93-SUM(E$100:E126))</f>
        <v>827972.66488095047</v>
      </c>
      <c r="E127" s="510">
        <f t="shared" si="14"/>
        <v>394877.32142857142</v>
      </c>
      <c r="F127" s="511">
        <f t="shared" si="15"/>
        <v>433095.34345237905</v>
      </c>
      <c r="G127" s="511">
        <f t="shared" si="16"/>
        <v>630534.00416666479</v>
      </c>
      <c r="H127" s="646">
        <f t="shared" si="19"/>
        <v>461974.65103170031</v>
      </c>
      <c r="I127" s="573">
        <f t="shared" si="17"/>
        <v>461974.65103170031</v>
      </c>
      <c r="J127" s="505">
        <f t="shared" si="11"/>
        <v>0</v>
      </c>
      <c r="K127" s="505"/>
      <c r="L127" s="513"/>
      <c r="M127" s="505">
        <f t="shared" si="18"/>
        <v>0</v>
      </c>
      <c r="N127" s="513"/>
      <c r="O127" s="505">
        <f t="shared" si="12"/>
        <v>0</v>
      </c>
      <c r="P127" s="505">
        <f t="shared" si="13"/>
        <v>0</v>
      </c>
      <c r="Q127" s="244"/>
      <c r="R127" s="244"/>
      <c r="S127" s="244"/>
      <c r="T127" s="244"/>
      <c r="U127" s="244"/>
    </row>
    <row r="128" spans="2:21" ht="12.5">
      <c r="B128" s="145" t="str">
        <f t="shared" si="10"/>
        <v/>
      </c>
      <c r="C128" s="496">
        <f>IF(D94="","-",+C127+1)</f>
        <v>2045</v>
      </c>
      <c r="D128" s="350">
        <f>IF(F127+SUM(E$100:E127)=D$93,F127,D$93-SUM(E$100:E127))</f>
        <v>433095.34345237905</v>
      </c>
      <c r="E128" s="510">
        <f t="shared" si="14"/>
        <v>394877.32142857142</v>
      </c>
      <c r="F128" s="511">
        <f t="shared" si="15"/>
        <v>38218.022023807629</v>
      </c>
      <c r="G128" s="511">
        <f t="shared" si="16"/>
        <v>235656.68273809334</v>
      </c>
      <c r="H128" s="646">
        <f t="shared" si="19"/>
        <v>419954.37359446596</v>
      </c>
      <c r="I128" s="573">
        <f t="shared" si="17"/>
        <v>419954.37359446596</v>
      </c>
      <c r="J128" s="505">
        <f t="shared" si="11"/>
        <v>0</v>
      </c>
      <c r="K128" s="505"/>
      <c r="L128" s="513"/>
      <c r="M128" s="505">
        <f t="shared" si="18"/>
        <v>0</v>
      </c>
      <c r="N128" s="513"/>
      <c r="O128" s="505">
        <f t="shared" si="12"/>
        <v>0</v>
      </c>
      <c r="P128" s="505">
        <f t="shared" si="13"/>
        <v>0</v>
      </c>
      <c r="Q128" s="244"/>
      <c r="R128" s="244"/>
      <c r="S128" s="244"/>
      <c r="T128" s="244"/>
      <c r="U128" s="244"/>
    </row>
    <row r="129" spans="2:21" ht="12.5">
      <c r="B129" s="145" t="str">
        <f t="shared" si="10"/>
        <v/>
      </c>
      <c r="C129" s="496">
        <f>IF(D94="","-",+C128+1)</f>
        <v>2046</v>
      </c>
      <c r="D129" s="350">
        <f>IF(F128+SUM(E$100:E128)=D$93,F128,D$93-SUM(E$100:E128))</f>
        <v>38218.022023807629</v>
      </c>
      <c r="E129" s="510">
        <f t="shared" si="14"/>
        <v>38218.022023807629</v>
      </c>
      <c r="F129" s="511">
        <f t="shared" si="15"/>
        <v>0</v>
      </c>
      <c r="G129" s="511">
        <f t="shared" si="16"/>
        <v>19109.011011903815</v>
      </c>
      <c r="H129" s="646">
        <f t="shared" si="19"/>
        <v>40251.478747446316</v>
      </c>
      <c r="I129" s="573">
        <f t="shared" si="17"/>
        <v>40251.478747446316</v>
      </c>
      <c r="J129" s="505">
        <f t="shared" si="11"/>
        <v>0</v>
      </c>
      <c r="K129" s="505"/>
      <c r="L129" s="513"/>
      <c r="M129" s="505">
        <f t="shared" si="18"/>
        <v>0</v>
      </c>
      <c r="N129" s="513"/>
      <c r="O129" s="505">
        <f t="shared" si="12"/>
        <v>0</v>
      </c>
      <c r="P129" s="505">
        <f t="shared" si="13"/>
        <v>0</v>
      </c>
      <c r="Q129" s="244"/>
      <c r="R129" s="244"/>
      <c r="S129" s="244"/>
      <c r="T129" s="244"/>
      <c r="U129" s="244"/>
    </row>
    <row r="130" spans="2:21" ht="12.5">
      <c r="B130" s="145" t="str">
        <f t="shared" si="10"/>
        <v/>
      </c>
      <c r="C130" s="496">
        <f>IF(D94="","-",+C129+1)</f>
        <v>2047</v>
      </c>
      <c r="D130" s="350">
        <f>IF(F129+SUM(E$100:E129)=D$93,F129,D$93-SUM(E$100:E129))</f>
        <v>0</v>
      </c>
      <c r="E130" s="510">
        <f t="shared" si="14"/>
        <v>0</v>
      </c>
      <c r="F130" s="511">
        <f t="shared" si="15"/>
        <v>0</v>
      </c>
      <c r="G130" s="511">
        <f t="shared" si="16"/>
        <v>0</v>
      </c>
      <c r="H130" s="646">
        <f t="shared" si="19"/>
        <v>0</v>
      </c>
      <c r="I130" s="573">
        <f t="shared" si="17"/>
        <v>0</v>
      </c>
      <c r="J130" s="505">
        <f t="shared" si="11"/>
        <v>0</v>
      </c>
      <c r="K130" s="505"/>
      <c r="L130" s="513"/>
      <c r="M130" s="505">
        <f t="shared" si="18"/>
        <v>0</v>
      </c>
      <c r="N130" s="513"/>
      <c r="O130" s="505">
        <f t="shared" si="12"/>
        <v>0</v>
      </c>
      <c r="P130" s="505">
        <f t="shared" si="13"/>
        <v>0</v>
      </c>
      <c r="Q130" s="244"/>
      <c r="R130" s="244"/>
      <c r="S130" s="244"/>
      <c r="T130" s="244"/>
      <c r="U130" s="244"/>
    </row>
    <row r="131" spans="2:21" ht="12.5">
      <c r="B131" s="145" t="str">
        <f t="shared" si="10"/>
        <v/>
      </c>
      <c r="C131" s="496">
        <f>IF(D94="","-",+C130+1)</f>
        <v>2048</v>
      </c>
      <c r="D131" s="350">
        <f>IF(F130+SUM(E$100:E130)=D$93,F130,D$93-SUM(E$100:E130))</f>
        <v>0</v>
      </c>
      <c r="E131" s="510">
        <f t="shared" si="14"/>
        <v>0</v>
      </c>
      <c r="F131" s="511">
        <f t="shared" si="15"/>
        <v>0</v>
      </c>
      <c r="G131" s="511">
        <f t="shared" si="16"/>
        <v>0</v>
      </c>
      <c r="H131" s="646">
        <f t="shared" si="19"/>
        <v>0</v>
      </c>
      <c r="I131" s="573">
        <f t="shared" si="17"/>
        <v>0</v>
      </c>
      <c r="J131" s="505">
        <f t="shared" si="11"/>
        <v>0</v>
      </c>
      <c r="K131" s="505"/>
      <c r="L131" s="513"/>
      <c r="M131" s="505">
        <f t="shared" si="18"/>
        <v>0</v>
      </c>
      <c r="N131" s="513"/>
      <c r="O131" s="505">
        <f t="shared" si="12"/>
        <v>0</v>
      </c>
      <c r="P131" s="505">
        <f t="shared" si="13"/>
        <v>0</v>
      </c>
      <c r="Q131" s="244"/>
      <c r="R131" s="244"/>
      <c r="S131" s="244"/>
      <c r="T131" s="244"/>
      <c r="U131" s="244"/>
    </row>
    <row r="132" spans="2:21" ht="12.5">
      <c r="B132" s="145" t="str">
        <f t="shared" si="10"/>
        <v/>
      </c>
      <c r="C132" s="496">
        <f>IF(D94="","-",+C131+1)</f>
        <v>2049</v>
      </c>
      <c r="D132" s="350">
        <f>IF(F131+SUM(E$100:E131)=D$93,F131,D$93-SUM(E$100:E131))</f>
        <v>0</v>
      </c>
      <c r="E132" s="510">
        <f t="shared" si="14"/>
        <v>0</v>
      </c>
      <c r="F132" s="511">
        <f t="shared" si="15"/>
        <v>0</v>
      </c>
      <c r="G132" s="511">
        <f t="shared" si="16"/>
        <v>0</v>
      </c>
      <c r="H132" s="646">
        <f t="shared" si="19"/>
        <v>0</v>
      </c>
      <c r="I132" s="573">
        <f t="shared" si="17"/>
        <v>0</v>
      </c>
      <c r="J132" s="505">
        <f t="shared" si="11"/>
        <v>0</v>
      </c>
      <c r="K132" s="505"/>
      <c r="L132" s="513"/>
      <c r="M132" s="505">
        <f t="shared" si="18"/>
        <v>0</v>
      </c>
      <c r="N132" s="513"/>
      <c r="O132" s="505">
        <f t="shared" si="12"/>
        <v>0</v>
      </c>
      <c r="P132" s="505">
        <f t="shared" si="13"/>
        <v>0</v>
      </c>
      <c r="Q132" s="244"/>
      <c r="R132" s="244"/>
      <c r="S132" s="244"/>
      <c r="T132" s="244"/>
      <c r="U132" s="244"/>
    </row>
    <row r="133" spans="2:21" ht="12.5">
      <c r="B133" s="145" t="str">
        <f t="shared" si="10"/>
        <v/>
      </c>
      <c r="C133" s="496">
        <f>IF(D94="","-",+C132+1)</f>
        <v>2050</v>
      </c>
      <c r="D133" s="350">
        <f>IF(F132+SUM(E$100:E132)=D$93,F132,D$93-SUM(E$100:E132))</f>
        <v>0</v>
      </c>
      <c r="E133" s="510">
        <f t="shared" si="14"/>
        <v>0</v>
      </c>
      <c r="F133" s="511">
        <f t="shared" si="15"/>
        <v>0</v>
      </c>
      <c r="G133" s="511">
        <f t="shared" si="16"/>
        <v>0</v>
      </c>
      <c r="H133" s="646">
        <f t="shared" si="19"/>
        <v>0</v>
      </c>
      <c r="I133" s="573">
        <f t="shared" si="17"/>
        <v>0</v>
      </c>
      <c r="J133" s="505">
        <f t="shared" si="11"/>
        <v>0</v>
      </c>
      <c r="K133" s="505"/>
      <c r="L133" s="513"/>
      <c r="M133" s="505">
        <f t="shared" si="18"/>
        <v>0</v>
      </c>
      <c r="N133" s="513"/>
      <c r="O133" s="505">
        <f t="shared" si="12"/>
        <v>0</v>
      </c>
      <c r="P133" s="505">
        <f t="shared" si="13"/>
        <v>0</v>
      </c>
      <c r="Q133" s="244"/>
      <c r="R133" s="244"/>
      <c r="S133" s="244"/>
      <c r="T133" s="244"/>
      <c r="U133" s="244"/>
    </row>
    <row r="134" spans="2:21" ht="12.5">
      <c r="B134" s="145" t="str">
        <f t="shared" si="10"/>
        <v/>
      </c>
      <c r="C134" s="496">
        <f>IF(D94="","-",+C133+1)</f>
        <v>2051</v>
      </c>
      <c r="D134" s="350">
        <f>IF(F133+SUM(E$100:E133)=D$93,F133,D$93-SUM(E$100:E133))</f>
        <v>0</v>
      </c>
      <c r="E134" s="510">
        <f t="shared" si="14"/>
        <v>0</v>
      </c>
      <c r="F134" s="511">
        <f t="shared" si="15"/>
        <v>0</v>
      </c>
      <c r="G134" s="511">
        <f t="shared" si="16"/>
        <v>0</v>
      </c>
      <c r="H134" s="646">
        <f t="shared" si="19"/>
        <v>0</v>
      </c>
      <c r="I134" s="573">
        <f t="shared" si="17"/>
        <v>0</v>
      </c>
      <c r="J134" s="505">
        <f t="shared" si="11"/>
        <v>0</v>
      </c>
      <c r="K134" s="505"/>
      <c r="L134" s="513"/>
      <c r="M134" s="505">
        <f t="shared" si="18"/>
        <v>0</v>
      </c>
      <c r="N134" s="513"/>
      <c r="O134" s="505">
        <f t="shared" si="12"/>
        <v>0</v>
      </c>
      <c r="P134" s="505">
        <f t="shared" si="13"/>
        <v>0</v>
      </c>
      <c r="Q134" s="244"/>
      <c r="R134" s="244"/>
      <c r="S134" s="244"/>
      <c r="T134" s="244"/>
      <c r="U134" s="244"/>
    </row>
    <row r="135" spans="2:21" ht="12.5">
      <c r="B135" s="145" t="str">
        <f t="shared" si="10"/>
        <v/>
      </c>
      <c r="C135" s="496">
        <f>IF(D94="","-",+C134+1)</f>
        <v>2052</v>
      </c>
      <c r="D135" s="350">
        <f>IF(F134+SUM(E$100:E134)=D$93,F134,D$93-SUM(E$100:E134))</f>
        <v>0</v>
      </c>
      <c r="E135" s="510">
        <f t="shared" ref="E135:E155" si="20">IF(+J$97&lt;F134,J$97,D135)</f>
        <v>0</v>
      </c>
      <c r="F135" s="511">
        <f t="shared" si="15"/>
        <v>0</v>
      </c>
      <c r="G135" s="511">
        <f t="shared" si="16"/>
        <v>0</v>
      </c>
      <c r="H135" s="646">
        <f t="shared" si="19"/>
        <v>0</v>
      </c>
      <c r="I135" s="573">
        <f t="shared" si="17"/>
        <v>0</v>
      </c>
      <c r="J135" s="505">
        <f t="shared" si="11"/>
        <v>0</v>
      </c>
      <c r="K135" s="505"/>
      <c r="L135" s="513"/>
      <c r="M135" s="505">
        <f t="shared" si="18"/>
        <v>0</v>
      </c>
      <c r="N135" s="513"/>
      <c r="O135" s="505">
        <f t="shared" si="12"/>
        <v>0</v>
      </c>
      <c r="P135" s="505">
        <f t="shared" si="13"/>
        <v>0</v>
      </c>
      <c r="Q135" s="244"/>
      <c r="R135" s="244"/>
      <c r="S135" s="244"/>
      <c r="T135" s="244"/>
      <c r="U135" s="244"/>
    </row>
    <row r="136" spans="2:21" ht="12.5">
      <c r="B136" s="145" t="str">
        <f t="shared" si="10"/>
        <v/>
      </c>
      <c r="C136" s="496">
        <f>IF(D94="","-",+C135+1)</f>
        <v>2053</v>
      </c>
      <c r="D136" s="350">
        <f>IF(F135+SUM(E$100:E135)=D$93,F135,D$93-SUM(E$100:E135))</f>
        <v>0</v>
      </c>
      <c r="E136" s="510">
        <f t="shared" si="20"/>
        <v>0</v>
      </c>
      <c r="F136" s="511">
        <f t="shared" si="15"/>
        <v>0</v>
      </c>
      <c r="G136" s="511">
        <f t="shared" si="16"/>
        <v>0</v>
      </c>
      <c r="H136" s="646">
        <f t="shared" si="19"/>
        <v>0</v>
      </c>
      <c r="I136" s="573">
        <f t="shared" si="17"/>
        <v>0</v>
      </c>
      <c r="J136" s="505">
        <f t="shared" si="11"/>
        <v>0</v>
      </c>
      <c r="K136" s="505"/>
      <c r="L136" s="513"/>
      <c r="M136" s="505">
        <f t="shared" si="18"/>
        <v>0</v>
      </c>
      <c r="N136" s="513"/>
      <c r="O136" s="505">
        <f t="shared" si="12"/>
        <v>0</v>
      </c>
      <c r="P136" s="505">
        <f t="shared" si="13"/>
        <v>0</v>
      </c>
      <c r="Q136" s="244"/>
      <c r="R136" s="244"/>
      <c r="S136" s="244"/>
      <c r="T136" s="244"/>
      <c r="U136" s="244"/>
    </row>
    <row r="137" spans="2:21" ht="12.5">
      <c r="B137" s="145" t="str">
        <f t="shared" si="10"/>
        <v/>
      </c>
      <c r="C137" s="496">
        <f>IF(D94="","-",+C136+1)</f>
        <v>2054</v>
      </c>
      <c r="D137" s="350">
        <f>IF(F136+SUM(E$100:E136)=D$93,F136,D$93-SUM(E$100:E136))</f>
        <v>0</v>
      </c>
      <c r="E137" s="510">
        <f t="shared" si="20"/>
        <v>0</v>
      </c>
      <c r="F137" s="511">
        <f t="shared" si="15"/>
        <v>0</v>
      </c>
      <c r="G137" s="511">
        <f t="shared" si="16"/>
        <v>0</v>
      </c>
      <c r="H137" s="646">
        <f t="shared" si="19"/>
        <v>0</v>
      </c>
      <c r="I137" s="573">
        <f t="shared" si="17"/>
        <v>0</v>
      </c>
      <c r="J137" s="505">
        <f t="shared" si="11"/>
        <v>0</v>
      </c>
      <c r="K137" s="505"/>
      <c r="L137" s="513"/>
      <c r="M137" s="505">
        <f t="shared" si="18"/>
        <v>0</v>
      </c>
      <c r="N137" s="513"/>
      <c r="O137" s="505">
        <f t="shared" si="12"/>
        <v>0</v>
      </c>
      <c r="P137" s="505">
        <f t="shared" si="13"/>
        <v>0</v>
      </c>
      <c r="Q137" s="244"/>
      <c r="R137" s="244"/>
      <c r="S137" s="244"/>
      <c r="T137" s="244"/>
      <c r="U137" s="244"/>
    </row>
    <row r="138" spans="2:21" ht="12.5">
      <c r="B138" s="145" t="str">
        <f t="shared" si="10"/>
        <v/>
      </c>
      <c r="C138" s="496">
        <f>IF(D94="","-",+C137+1)</f>
        <v>2055</v>
      </c>
      <c r="D138" s="350">
        <f>IF(F137+SUM(E$100:E137)=D$93,F137,D$93-SUM(E$100:E137))</f>
        <v>0</v>
      </c>
      <c r="E138" s="510">
        <f t="shared" si="20"/>
        <v>0</v>
      </c>
      <c r="F138" s="511">
        <f t="shared" si="15"/>
        <v>0</v>
      </c>
      <c r="G138" s="511">
        <f t="shared" si="16"/>
        <v>0</v>
      </c>
      <c r="H138" s="646">
        <f t="shared" si="19"/>
        <v>0</v>
      </c>
      <c r="I138" s="573">
        <f t="shared" si="17"/>
        <v>0</v>
      </c>
      <c r="J138" s="505">
        <f t="shared" si="11"/>
        <v>0</v>
      </c>
      <c r="K138" s="505"/>
      <c r="L138" s="513"/>
      <c r="M138" s="505">
        <f t="shared" si="18"/>
        <v>0</v>
      </c>
      <c r="N138" s="513"/>
      <c r="O138" s="505">
        <f t="shared" si="12"/>
        <v>0</v>
      </c>
      <c r="P138" s="505">
        <f t="shared" si="13"/>
        <v>0</v>
      </c>
      <c r="Q138" s="244"/>
      <c r="R138" s="244"/>
      <c r="S138" s="244"/>
      <c r="T138" s="244"/>
      <c r="U138" s="244"/>
    </row>
    <row r="139" spans="2:21" ht="12.5">
      <c r="B139" s="145" t="str">
        <f t="shared" si="10"/>
        <v/>
      </c>
      <c r="C139" s="496">
        <f>IF(D94="","-",+C138+1)</f>
        <v>2056</v>
      </c>
      <c r="D139" s="350">
        <f>IF(F138+SUM(E$100:E138)=D$93,F138,D$93-SUM(E$100:E138))</f>
        <v>0</v>
      </c>
      <c r="E139" s="510">
        <f t="shared" si="20"/>
        <v>0</v>
      </c>
      <c r="F139" s="511">
        <f t="shared" si="15"/>
        <v>0</v>
      </c>
      <c r="G139" s="511">
        <f t="shared" si="16"/>
        <v>0</v>
      </c>
      <c r="H139" s="646">
        <f t="shared" si="19"/>
        <v>0</v>
      </c>
      <c r="I139" s="573">
        <f t="shared" si="17"/>
        <v>0</v>
      </c>
      <c r="J139" s="505">
        <f t="shared" si="11"/>
        <v>0</v>
      </c>
      <c r="K139" s="505"/>
      <c r="L139" s="513"/>
      <c r="M139" s="505">
        <f t="shared" si="18"/>
        <v>0</v>
      </c>
      <c r="N139" s="513"/>
      <c r="O139" s="505">
        <f t="shared" si="12"/>
        <v>0</v>
      </c>
      <c r="P139" s="505">
        <f t="shared" si="13"/>
        <v>0</v>
      </c>
      <c r="Q139" s="244"/>
      <c r="R139" s="244"/>
      <c r="S139" s="244"/>
      <c r="T139" s="244"/>
      <c r="U139" s="244"/>
    </row>
    <row r="140" spans="2:21" ht="12.5">
      <c r="B140" s="145" t="str">
        <f t="shared" si="10"/>
        <v/>
      </c>
      <c r="C140" s="496">
        <f>IF(D94="","-",+C139+1)</f>
        <v>2057</v>
      </c>
      <c r="D140" s="350">
        <f>IF(F139+SUM(E$100:E139)=D$93,F139,D$93-SUM(E$100:E139))</f>
        <v>0</v>
      </c>
      <c r="E140" s="510">
        <f t="shared" si="20"/>
        <v>0</v>
      </c>
      <c r="F140" s="511">
        <f t="shared" si="15"/>
        <v>0</v>
      </c>
      <c r="G140" s="511">
        <f t="shared" si="16"/>
        <v>0</v>
      </c>
      <c r="H140" s="646">
        <f t="shared" si="19"/>
        <v>0</v>
      </c>
      <c r="I140" s="573">
        <f t="shared" si="17"/>
        <v>0</v>
      </c>
      <c r="J140" s="505">
        <f t="shared" si="11"/>
        <v>0</v>
      </c>
      <c r="K140" s="505"/>
      <c r="L140" s="513"/>
      <c r="M140" s="505">
        <f t="shared" si="18"/>
        <v>0</v>
      </c>
      <c r="N140" s="513"/>
      <c r="O140" s="505">
        <f t="shared" si="12"/>
        <v>0</v>
      </c>
      <c r="P140" s="505">
        <f t="shared" si="13"/>
        <v>0</v>
      </c>
      <c r="Q140" s="244"/>
      <c r="R140" s="244"/>
      <c r="S140" s="244"/>
      <c r="T140" s="244"/>
      <c r="U140" s="244"/>
    </row>
    <row r="141" spans="2:21" ht="12.5">
      <c r="B141" s="145" t="str">
        <f t="shared" si="10"/>
        <v/>
      </c>
      <c r="C141" s="496">
        <f>IF(D94="","-",+C140+1)</f>
        <v>2058</v>
      </c>
      <c r="D141" s="350">
        <f>IF(F140+SUM(E$100:E140)=D$93,F140,D$93-SUM(E$100:E140))</f>
        <v>0</v>
      </c>
      <c r="E141" s="510">
        <f t="shared" si="20"/>
        <v>0</v>
      </c>
      <c r="F141" s="511">
        <f t="shared" si="15"/>
        <v>0</v>
      </c>
      <c r="G141" s="511">
        <f t="shared" si="16"/>
        <v>0</v>
      </c>
      <c r="H141" s="646">
        <f t="shared" si="19"/>
        <v>0</v>
      </c>
      <c r="I141" s="573">
        <f t="shared" si="17"/>
        <v>0</v>
      </c>
      <c r="J141" s="505">
        <f t="shared" si="11"/>
        <v>0</v>
      </c>
      <c r="K141" s="505"/>
      <c r="L141" s="513"/>
      <c r="M141" s="505">
        <f t="shared" si="18"/>
        <v>0</v>
      </c>
      <c r="N141" s="513"/>
      <c r="O141" s="505">
        <f t="shared" si="12"/>
        <v>0</v>
      </c>
      <c r="P141" s="505">
        <f t="shared" si="13"/>
        <v>0</v>
      </c>
      <c r="Q141" s="244"/>
      <c r="R141" s="244"/>
      <c r="S141" s="244"/>
      <c r="T141" s="244"/>
      <c r="U141" s="244"/>
    </row>
    <row r="142" spans="2:21" ht="12.5">
      <c r="B142" s="145" t="str">
        <f t="shared" si="10"/>
        <v/>
      </c>
      <c r="C142" s="496">
        <f>IF(D94="","-",+C141+1)</f>
        <v>2059</v>
      </c>
      <c r="D142" s="350">
        <f>IF(F141+SUM(E$100:E141)=D$93,F141,D$93-SUM(E$100:E141))</f>
        <v>0</v>
      </c>
      <c r="E142" s="510">
        <f t="shared" si="20"/>
        <v>0</v>
      </c>
      <c r="F142" s="511">
        <f t="shared" si="15"/>
        <v>0</v>
      </c>
      <c r="G142" s="511">
        <f t="shared" si="16"/>
        <v>0</v>
      </c>
      <c r="H142" s="646">
        <f t="shared" si="19"/>
        <v>0</v>
      </c>
      <c r="I142" s="573">
        <f t="shared" si="17"/>
        <v>0</v>
      </c>
      <c r="J142" s="505">
        <f t="shared" si="11"/>
        <v>0</v>
      </c>
      <c r="K142" s="505"/>
      <c r="L142" s="513"/>
      <c r="M142" s="505">
        <f t="shared" si="18"/>
        <v>0</v>
      </c>
      <c r="N142" s="513"/>
      <c r="O142" s="505">
        <f t="shared" si="12"/>
        <v>0</v>
      </c>
      <c r="P142" s="505">
        <f t="shared" si="13"/>
        <v>0</v>
      </c>
      <c r="Q142" s="244"/>
      <c r="R142" s="244"/>
      <c r="S142" s="244"/>
      <c r="T142" s="244"/>
      <c r="U142" s="244"/>
    </row>
    <row r="143" spans="2:21" ht="12.5">
      <c r="B143" s="145" t="str">
        <f t="shared" si="10"/>
        <v/>
      </c>
      <c r="C143" s="496">
        <f>IF(D94="","-",+C142+1)</f>
        <v>2060</v>
      </c>
      <c r="D143" s="350">
        <f>IF(F142+SUM(E$100:E142)=D$93,F142,D$93-SUM(E$100:E142))</f>
        <v>0</v>
      </c>
      <c r="E143" s="510">
        <f t="shared" si="20"/>
        <v>0</v>
      </c>
      <c r="F143" s="511">
        <f t="shared" si="15"/>
        <v>0</v>
      </c>
      <c r="G143" s="511">
        <f t="shared" si="16"/>
        <v>0</v>
      </c>
      <c r="H143" s="646">
        <f t="shared" si="19"/>
        <v>0</v>
      </c>
      <c r="I143" s="573">
        <f t="shared" si="17"/>
        <v>0</v>
      </c>
      <c r="J143" s="505">
        <f t="shared" si="11"/>
        <v>0</v>
      </c>
      <c r="K143" s="505"/>
      <c r="L143" s="513"/>
      <c r="M143" s="505">
        <f t="shared" si="18"/>
        <v>0</v>
      </c>
      <c r="N143" s="513"/>
      <c r="O143" s="505">
        <f t="shared" si="12"/>
        <v>0</v>
      </c>
      <c r="P143" s="505">
        <f t="shared" si="13"/>
        <v>0</v>
      </c>
      <c r="Q143" s="244"/>
      <c r="R143" s="244"/>
      <c r="S143" s="244"/>
      <c r="T143" s="244"/>
      <c r="U143" s="244"/>
    </row>
    <row r="144" spans="2:21" ht="12.5">
      <c r="B144" s="145" t="str">
        <f t="shared" si="10"/>
        <v/>
      </c>
      <c r="C144" s="496">
        <f>IF(D94="","-",+C143+1)</f>
        <v>2061</v>
      </c>
      <c r="D144" s="350">
        <f>IF(F143+SUM(E$100:E143)=D$93,F143,D$93-SUM(E$100:E143))</f>
        <v>0</v>
      </c>
      <c r="E144" s="510">
        <f t="shared" si="20"/>
        <v>0</v>
      </c>
      <c r="F144" s="511">
        <f t="shared" si="15"/>
        <v>0</v>
      </c>
      <c r="G144" s="511">
        <f t="shared" si="16"/>
        <v>0</v>
      </c>
      <c r="H144" s="646">
        <f t="shared" si="19"/>
        <v>0</v>
      </c>
      <c r="I144" s="573">
        <f t="shared" si="17"/>
        <v>0</v>
      </c>
      <c r="J144" s="505">
        <f t="shared" si="11"/>
        <v>0</v>
      </c>
      <c r="K144" s="505"/>
      <c r="L144" s="513"/>
      <c r="M144" s="505">
        <f t="shared" si="18"/>
        <v>0</v>
      </c>
      <c r="N144" s="513"/>
      <c r="O144" s="505">
        <f t="shared" si="12"/>
        <v>0</v>
      </c>
      <c r="P144" s="505">
        <f t="shared" si="13"/>
        <v>0</v>
      </c>
      <c r="Q144" s="244"/>
      <c r="R144" s="244"/>
      <c r="S144" s="244"/>
      <c r="T144" s="244"/>
      <c r="U144" s="244"/>
    </row>
    <row r="145" spans="2:21" ht="12.5">
      <c r="B145" s="145" t="str">
        <f t="shared" si="10"/>
        <v/>
      </c>
      <c r="C145" s="496">
        <f>IF(D94="","-",+C144+1)</f>
        <v>2062</v>
      </c>
      <c r="D145" s="350">
        <f>IF(F144+SUM(E$100:E144)=D$93,F144,D$93-SUM(E$100:E144))</f>
        <v>0</v>
      </c>
      <c r="E145" s="510">
        <f t="shared" si="20"/>
        <v>0</v>
      </c>
      <c r="F145" s="511">
        <f t="shared" si="15"/>
        <v>0</v>
      </c>
      <c r="G145" s="511">
        <f t="shared" si="16"/>
        <v>0</v>
      </c>
      <c r="H145" s="646">
        <f t="shared" si="19"/>
        <v>0</v>
      </c>
      <c r="I145" s="573">
        <f t="shared" si="17"/>
        <v>0</v>
      </c>
      <c r="J145" s="505">
        <f t="shared" si="11"/>
        <v>0</v>
      </c>
      <c r="K145" s="505"/>
      <c r="L145" s="513"/>
      <c r="M145" s="505">
        <f t="shared" si="18"/>
        <v>0</v>
      </c>
      <c r="N145" s="513"/>
      <c r="O145" s="505">
        <f t="shared" si="12"/>
        <v>0</v>
      </c>
      <c r="P145" s="505">
        <f t="shared" si="13"/>
        <v>0</v>
      </c>
      <c r="Q145" s="244"/>
      <c r="R145" s="244"/>
      <c r="S145" s="244"/>
      <c r="T145" s="244"/>
      <c r="U145" s="244"/>
    </row>
    <row r="146" spans="2:21" ht="12.5">
      <c r="B146" s="145" t="str">
        <f t="shared" si="10"/>
        <v/>
      </c>
      <c r="C146" s="496">
        <f>IF(D94="","-",+C145+1)</f>
        <v>2063</v>
      </c>
      <c r="D146" s="350">
        <f>IF(F145+SUM(E$100:E145)=D$93,F145,D$93-SUM(E$100:E145))</f>
        <v>0</v>
      </c>
      <c r="E146" s="510">
        <f t="shared" si="20"/>
        <v>0</v>
      </c>
      <c r="F146" s="511">
        <f t="shared" si="15"/>
        <v>0</v>
      </c>
      <c r="G146" s="511">
        <f t="shared" si="16"/>
        <v>0</v>
      </c>
      <c r="H146" s="646">
        <f t="shared" si="19"/>
        <v>0</v>
      </c>
      <c r="I146" s="573">
        <f t="shared" si="17"/>
        <v>0</v>
      </c>
      <c r="J146" s="505">
        <f t="shared" si="11"/>
        <v>0</v>
      </c>
      <c r="K146" s="505"/>
      <c r="L146" s="513"/>
      <c r="M146" s="505">
        <f t="shared" si="18"/>
        <v>0</v>
      </c>
      <c r="N146" s="513"/>
      <c r="O146" s="505">
        <f t="shared" si="12"/>
        <v>0</v>
      </c>
      <c r="P146" s="505">
        <f t="shared" si="13"/>
        <v>0</v>
      </c>
      <c r="Q146" s="244"/>
      <c r="R146" s="244"/>
      <c r="S146" s="244"/>
      <c r="T146" s="244"/>
      <c r="U146" s="244"/>
    </row>
    <row r="147" spans="2:21" ht="12.5">
      <c r="B147" s="145" t="str">
        <f t="shared" si="10"/>
        <v/>
      </c>
      <c r="C147" s="496">
        <f>IF(D94="","-",+C146+1)</f>
        <v>2064</v>
      </c>
      <c r="D147" s="350">
        <f>IF(F146+SUM(E$100:E146)=D$93,F146,D$93-SUM(E$100:E146))</f>
        <v>0</v>
      </c>
      <c r="E147" s="510">
        <f t="shared" si="20"/>
        <v>0</v>
      </c>
      <c r="F147" s="511">
        <f t="shared" si="15"/>
        <v>0</v>
      </c>
      <c r="G147" s="511">
        <f t="shared" si="16"/>
        <v>0</v>
      </c>
      <c r="H147" s="646">
        <f t="shared" si="19"/>
        <v>0</v>
      </c>
      <c r="I147" s="573">
        <f t="shared" si="17"/>
        <v>0</v>
      </c>
      <c r="J147" s="505">
        <f t="shared" si="11"/>
        <v>0</v>
      </c>
      <c r="K147" s="505"/>
      <c r="L147" s="513"/>
      <c r="M147" s="505">
        <f t="shared" si="18"/>
        <v>0</v>
      </c>
      <c r="N147" s="513"/>
      <c r="O147" s="505">
        <f t="shared" si="12"/>
        <v>0</v>
      </c>
      <c r="P147" s="505">
        <f t="shared" si="13"/>
        <v>0</v>
      </c>
      <c r="Q147" s="244"/>
      <c r="R147" s="244"/>
      <c r="S147" s="244"/>
      <c r="T147" s="244"/>
      <c r="U147" s="244"/>
    </row>
    <row r="148" spans="2:21" ht="12.5">
      <c r="B148" s="145" t="str">
        <f t="shared" si="10"/>
        <v/>
      </c>
      <c r="C148" s="496">
        <f>IF(D94="","-",+C147+1)</f>
        <v>2065</v>
      </c>
      <c r="D148" s="350">
        <f>IF(F147+SUM(E$100:E147)=D$93,F147,D$93-SUM(E$100:E147))</f>
        <v>0</v>
      </c>
      <c r="E148" s="510">
        <f t="shared" si="20"/>
        <v>0</v>
      </c>
      <c r="F148" s="511">
        <f t="shared" si="15"/>
        <v>0</v>
      </c>
      <c r="G148" s="511">
        <f t="shared" si="16"/>
        <v>0</v>
      </c>
      <c r="H148" s="646">
        <f t="shared" si="19"/>
        <v>0</v>
      </c>
      <c r="I148" s="573">
        <f t="shared" si="17"/>
        <v>0</v>
      </c>
      <c r="J148" s="505">
        <f t="shared" si="11"/>
        <v>0</v>
      </c>
      <c r="K148" s="505"/>
      <c r="L148" s="513"/>
      <c r="M148" s="505">
        <f t="shared" si="18"/>
        <v>0</v>
      </c>
      <c r="N148" s="513"/>
      <c r="O148" s="505">
        <f t="shared" si="12"/>
        <v>0</v>
      </c>
      <c r="P148" s="505">
        <f t="shared" si="13"/>
        <v>0</v>
      </c>
      <c r="Q148" s="244"/>
      <c r="R148" s="244"/>
      <c r="S148" s="244"/>
      <c r="T148" s="244"/>
      <c r="U148" s="244"/>
    </row>
    <row r="149" spans="2:21" ht="12.5">
      <c r="B149" s="145" t="str">
        <f t="shared" si="10"/>
        <v/>
      </c>
      <c r="C149" s="496">
        <f>IF(D94="","-",+C148+1)</f>
        <v>2066</v>
      </c>
      <c r="D149" s="350">
        <f>IF(F148+SUM(E$100:E148)=D$93,F148,D$93-SUM(E$100:E148))</f>
        <v>0</v>
      </c>
      <c r="E149" s="510">
        <f t="shared" si="20"/>
        <v>0</v>
      </c>
      <c r="F149" s="511">
        <f t="shared" si="15"/>
        <v>0</v>
      </c>
      <c r="G149" s="511">
        <f t="shared" si="16"/>
        <v>0</v>
      </c>
      <c r="H149" s="646">
        <f t="shared" si="19"/>
        <v>0</v>
      </c>
      <c r="I149" s="573">
        <f t="shared" si="17"/>
        <v>0</v>
      </c>
      <c r="J149" s="505">
        <f t="shared" si="11"/>
        <v>0</v>
      </c>
      <c r="K149" s="505"/>
      <c r="L149" s="513"/>
      <c r="M149" s="505">
        <f t="shared" si="18"/>
        <v>0</v>
      </c>
      <c r="N149" s="513"/>
      <c r="O149" s="505">
        <f t="shared" si="12"/>
        <v>0</v>
      </c>
      <c r="P149" s="505">
        <f t="shared" si="13"/>
        <v>0</v>
      </c>
      <c r="Q149" s="244"/>
      <c r="R149" s="244"/>
      <c r="S149" s="244"/>
      <c r="T149" s="244"/>
      <c r="U149" s="244"/>
    </row>
    <row r="150" spans="2:21" ht="12.5">
      <c r="B150" s="145" t="str">
        <f t="shared" si="10"/>
        <v/>
      </c>
      <c r="C150" s="496">
        <f>IF(D94="","-",+C149+1)</f>
        <v>2067</v>
      </c>
      <c r="D150" s="350">
        <f>IF(F149+SUM(E$100:E149)=D$93,F149,D$93-SUM(E$100:E149))</f>
        <v>0</v>
      </c>
      <c r="E150" s="510">
        <f t="shared" si="20"/>
        <v>0</v>
      </c>
      <c r="F150" s="511">
        <f t="shared" si="15"/>
        <v>0</v>
      </c>
      <c r="G150" s="511">
        <f t="shared" si="16"/>
        <v>0</v>
      </c>
      <c r="H150" s="646">
        <f t="shared" si="19"/>
        <v>0</v>
      </c>
      <c r="I150" s="573">
        <f t="shared" si="17"/>
        <v>0</v>
      </c>
      <c r="J150" s="505">
        <f t="shared" si="11"/>
        <v>0</v>
      </c>
      <c r="K150" s="505"/>
      <c r="L150" s="513"/>
      <c r="M150" s="505">
        <f t="shared" si="18"/>
        <v>0</v>
      </c>
      <c r="N150" s="513"/>
      <c r="O150" s="505">
        <f t="shared" si="12"/>
        <v>0</v>
      </c>
      <c r="P150" s="505">
        <f t="shared" si="13"/>
        <v>0</v>
      </c>
      <c r="Q150" s="244"/>
      <c r="R150" s="244"/>
      <c r="S150" s="244"/>
      <c r="T150" s="244"/>
      <c r="U150" s="244"/>
    </row>
    <row r="151" spans="2:21" ht="12.5">
      <c r="B151" s="145" t="str">
        <f t="shared" si="10"/>
        <v/>
      </c>
      <c r="C151" s="496">
        <f>IF(D94="","-",+C150+1)</f>
        <v>2068</v>
      </c>
      <c r="D151" s="350">
        <f>IF(F150+SUM(E$100:E150)=D$93,F150,D$93-SUM(E$100:E150))</f>
        <v>0</v>
      </c>
      <c r="E151" s="510">
        <f t="shared" si="20"/>
        <v>0</v>
      </c>
      <c r="F151" s="511">
        <f t="shared" si="15"/>
        <v>0</v>
      </c>
      <c r="G151" s="511">
        <f t="shared" si="16"/>
        <v>0</v>
      </c>
      <c r="H151" s="646">
        <f t="shared" si="19"/>
        <v>0</v>
      </c>
      <c r="I151" s="573">
        <f t="shared" si="17"/>
        <v>0</v>
      </c>
      <c r="J151" s="505">
        <f t="shared" si="11"/>
        <v>0</v>
      </c>
      <c r="K151" s="505"/>
      <c r="L151" s="513"/>
      <c r="M151" s="505">
        <f t="shared" si="18"/>
        <v>0</v>
      </c>
      <c r="N151" s="513"/>
      <c r="O151" s="505">
        <f t="shared" si="12"/>
        <v>0</v>
      </c>
      <c r="P151" s="505">
        <f t="shared" si="13"/>
        <v>0</v>
      </c>
      <c r="Q151" s="244"/>
      <c r="R151" s="244"/>
      <c r="S151" s="244"/>
      <c r="T151" s="244"/>
      <c r="U151" s="244"/>
    </row>
    <row r="152" spans="2:21" ht="12.5">
      <c r="B152" s="145" t="str">
        <f t="shared" si="10"/>
        <v/>
      </c>
      <c r="C152" s="496">
        <f>IF(D94="","-",+C151+1)</f>
        <v>2069</v>
      </c>
      <c r="D152" s="350">
        <f>IF(F151+SUM(E$100:E151)=D$93,F151,D$93-SUM(E$100:E151))</f>
        <v>0</v>
      </c>
      <c r="E152" s="510">
        <f t="shared" si="20"/>
        <v>0</v>
      </c>
      <c r="F152" s="511">
        <f t="shared" si="15"/>
        <v>0</v>
      </c>
      <c r="G152" s="511">
        <f t="shared" si="16"/>
        <v>0</v>
      </c>
      <c r="H152" s="646">
        <f t="shared" si="19"/>
        <v>0</v>
      </c>
      <c r="I152" s="573">
        <f t="shared" si="17"/>
        <v>0</v>
      </c>
      <c r="J152" s="505">
        <f t="shared" si="11"/>
        <v>0</v>
      </c>
      <c r="K152" s="505"/>
      <c r="L152" s="513"/>
      <c r="M152" s="505">
        <f t="shared" si="18"/>
        <v>0</v>
      </c>
      <c r="N152" s="513"/>
      <c r="O152" s="505">
        <f t="shared" si="12"/>
        <v>0</v>
      </c>
      <c r="P152" s="505">
        <f t="shared" si="13"/>
        <v>0</v>
      </c>
      <c r="Q152" s="244"/>
      <c r="R152" s="244"/>
      <c r="S152" s="244"/>
      <c r="T152" s="244"/>
      <c r="U152" s="244"/>
    </row>
    <row r="153" spans="2:21" ht="12.5">
      <c r="B153" s="145" t="str">
        <f t="shared" si="10"/>
        <v/>
      </c>
      <c r="C153" s="496">
        <f>IF(D94="","-",+C152+1)</f>
        <v>2070</v>
      </c>
      <c r="D153" s="350">
        <f>IF(F152+SUM(E$100:E152)=D$93,F152,D$93-SUM(E$100:E152))</f>
        <v>0</v>
      </c>
      <c r="E153" s="510">
        <f t="shared" si="20"/>
        <v>0</v>
      </c>
      <c r="F153" s="511">
        <f t="shared" si="15"/>
        <v>0</v>
      </c>
      <c r="G153" s="511">
        <f t="shared" si="16"/>
        <v>0</v>
      </c>
      <c r="H153" s="646">
        <f t="shared" si="19"/>
        <v>0</v>
      </c>
      <c r="I153" s="573">
        <f t="shared" si="17"/>
        <v>0</v>
      </c>
      <c r="J153" s="505">
        <f t="shared" si="11"/>
        <v>0</v>
      </c>
      <c r="K153" s="505"/>
      <c r="L153" s="513"/>
      <c r="M153" s="505">
        <f t="shared" si="18"/>
        <v>0</v>
      </c>
      <c r="N153" s="513"/>
      <c r="O153" s="505">
        <f t="shared" si="12"/>
        <v>0</v>
      </c>
      <c r="P153" s="505">
        <f t="shared" si="13"/>
        <v>0</v>
      </c>
      <c r="Q153" s="244"/>
      <c r="R153" s="244"/>
      <c r="S153" s="244"/>
      <c r="T153" s="244"/>
      <c r="U153" s="244"/>
    </row>
    <row r="154" spans="2:21" ht="12.5">
      <c r="B154" s="145" t="str">
        <f t="shared" si="10"/>
        <v/>
      </c>
      <c r="C154" s="496">
        <f>IF(D94="","-",+C153+1)</f>
        <v>2071</v>
      </c>
      <c r="D154" s="350">
        <f>IF(F153+SUM(E$100:E153)=D$93,F153,D$93-SUM(E$100:E153))</f>
        <v>0</v>
      </c>
      <c r="E154" s="510">
        <f t="shared" si="20"/>
        <v>0</v>
      </c>
      <c r="F154" s="511">
        <f t="shared" si="15"/>
        <v>0</v>
      </c>
      <c r="G154" s="511">
        <f t="shared" si="16"/>
        <v>0</v>
      </c>
      <c r="H154" s="646">
        <f t="shared" si="19"/>
        <v>0</v>
      </c>
      <c r="I154" s="573">
        <f t="shared" si="17"/>
        <v>0</v>
      </c>
      <c r="J154" s="505">
        <f t="shared" si="11"/>
        <v>0</v>
      </c>
      <c r="K154" s="505"/>
      <c r="L154" s="513"/>
      <c r="M154" s="505">
        <f t="shared" si="18"/>
        <v>0</v>
      </c>
      <c r="N154" s="513"/>
      <c r="O154" s="505">
        <f t="shared" si="12"/>
        <v>0</v>
      </c>
      <c r="P154" s="505">
        <f t="shared" si="13"/>
        <v>0</v>
      </c>
      <c r="Q154" s="244"/>
      <c r="R154" s="244"/>
      <c r="S154" s="244"/>
      <c r="T154" s="244"/>
      <c r="U154" s="244"/>
    </row>
    <row r="155" spans="2:21" ht="13" thickBot="1">
      <c r="B155" s="145" t="str">
        <f t="shared" si="10"/>
        <v/>
      </c>
      <c r="C155" s="525">
        <f>IF(D94="","-",+C154+1)</f>
        <v>2072</v>
      </c>
      <c r="D155" s="528">
        <f>IF(F154+SUM(E$100:E154)=D$93,F154,D$93-SUM(E$100:E154))</f>
        <v>0</v>
      </c>
      <c r="E155" s="527">
        <f t="shared" si="20"/>
        <v>0</v>
      </c>
      <c r="F155" s="528">
        <f t="shared" si="15"/>
        <v>0</v>
      </c>
      <c r="G155" s="528">
        <f t="shared" si="16"/>
        <v>0</v>
      </c>
      <c r="H155" s="646">
        <f t="shared" si="19"/>
        <v>0</v>
      </c>
      <c r="I155" s="574">
        <f t="shared" si="17"/>
        <v>0</v>
      </c>
      <c r="J155" s="532">
        <f t="shared" si="11"/>
        <v>0</v>
      </c>
      <c r="K155" s="505"/>
      <c r="L155" s="531"/>
      <c r="M155" s="532">
        <f t="shared" si="18"/>
        <v>0</v>
      </c>
      <c r="N155" s="531"/>
      <c r="O155" s="532">
        <f t="shared" si="12"/>
        <v>0</v>
      </c>
      <c r="P155" s="532">
        <f t="shared" si="13"/>
        <v>0</v>
      </c>
      <c r="Q155" s="244"/>
      <c r="R155" s="244"/>
      <c r="S155" s="244"/>
      <c r="T155" s="244"/>
      <c r="U155" s="244"/>
    </row>
    <row r="156" spans="2:21" ht="12.5">
      <c r="C156" s="350" t="s">
        <v>75</v>
      </c>
      <c r="D156" s="295"/>
      <c r="E156" s="295">
        <f>SUM(E100:E155)</f>
        <v>11056565</v>
      </c>
      <c r="F156" s="295"/>
      <c r="G156" s="295"/>
      <c r="H156" s="295">
        <f>SUM(H100:H155)</f>
        <v>28244455.060148519</v>
      </c>
      <c r="I156" s="295">
        <f>SUM(I100:I155)</f>
        <v>28244455.060148519</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31 C34:C40 C44:C73">
    <cfRule type="cellIs" dxfId="22" priority="4" stopIfTrue="1" operator="equal">
      <formula>$I$10</formula>
    </cfRule>
  </conditionalFormatting>
  <conditionalFormatting sqref="C100:C155">
    <cfRule type="cellIs" dxfId="21" priority="5" stopIfTrue="1" operator="equal">
      <formula>$J$93</formula>
    </cfRule>
  </conditionalFormatting>
  <conditionalFormatting sqref="C32">
    <cfRule type="cellIs" dxfId="20" priority="3" stopIfTrue="1" operator="equal">
      <formula>$I$10</formula>
    </cfRule>
  </conditionalFormatting>
  <conditionalFormatting sqref="C33">
    <cfRule type="cellIs" dxfId="19" priority="2" stopIfTrue="1" operator="equal">
      <formula>$I$10</formula>
    </cfRule>
  </conditionalFormatting>
  <conditionalFormatting sqref="C41:C43">
    <cfRule type="cellIs" dxfId="18"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163"/>
  <sheetViews>
    <sheetView tabSelected="1" topLeftCell="A85" zoomScale="85" zoomScaleNormal="85"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16 of 20</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1227854.794149773</v>
      </c>
      <c r="P5" s="244"/>
    </row>
    <row r="6" spans="1:16" ht="15.5">
      <c r="C6" s="236"/>
      <c r="D6" s="293"/>
      <c r="E6" s="244"/>
      <c r="F6" s="244"/>
      <c r="G6" s="244"/>
      <c r="H6" s="450"/>
      <c r="I6" s="450"/>
      <c r="J6" s="451"/>
      <c r="K6" s="452" t="s">
        <v>243</v>
      </c>
      <c r="L6" s="453"/>
      <c r="M6" s="279"/>
      <c r="N6" s="454">
        <f>VLOOKUP(I10,C17:I73,6)</f>
        <v>1227854.794149773</v>
      </c>
      <c r="O6" s="244"/>
      <c r="P6" s="244"/>
    </row>
    <row r="7" spans="1:16" ht="13.5" thickBot="1">
      <c r="C7" s="455" t="s">
        <v>46</v>
      </c>
      <c r="D7" s="635" t="s">
        <v>246</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262</v>
      </c>
      <c r="E9" s="466"/>
      <c r="F9" s="466"/>
      <c r="G9" s="466"/>
      <c r="H9" s="466"/>
      <c r="I9" s="467"/>
      <c r="J9" s="468"/>
      <c r="O9" s="469"/>
      <c r="P9" s="279"/>
    </row>
    <row r="10" spans="1:16" ht="13">
      <c r="C10" s="470" t="s">
        <v>49</v>
      </c>
      <c r="D10" s="471">
        <v>9662951</v>
      </c>
      <c r="E10" s="300" t="s">
        <v>50</v>
      </c>
      <c r="F10" s="469"/>
      <c r="G10" s="409"/>
      <c r="H10" s="409"/>
      <c r="I10" s="472">
        <f>+OKT.WS.F.BPU.ATRR.Projected!R100</f>
        <v>2020</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7</v>
      </c>
      <c r="E12" s="473" t="s">
        <v>55</v>
      </c>
      <c r="F12" s="409"/>
      <c r="G12" s="221"/>
      <c r="H12" s="221"/>
      <c r="I12" s="477">
        <f>OKT.WS.F.BPU.ATRR.Projected!$F$78</f>
        <v>0.1064171487591708</v>
      </c>
      <c r="J12" s="414"/>
      <c r="K12" s="145" t="s">
        <v>56</v>
      </c>
      <c r="O12" s="279"/>
      <c r="P12" s="279"/>
    </row>
    <row r="13" spans="1:16"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 thickBot="1">
      <c r="C14" s="473" t="s">
        <v>60</v>
      </c>
      <c r="D14" s="474" t="s">
        <v>61</v>
      </c>
      <c r="E14" s="279" t="s">
        <v>62</v>
      </c>
      <c r="F14" s="409"/>
      <c r="G14" s="221"/>
      <c r="H14" s="221"/>
      <c r="I14" s="478">
        <f>IF(D10=0,0,D10/D13)</f>
        <v>284204.4411764706</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72904.982539658653</v>
      </c>
      <c r="F17" s="613">
        <v>8826095.0174603406</v>
      </c>
      <c r="G17" s="621">
        <v>558075.303653282</v>
      </c>
      <c r="H17" s="618">
        <v>558075.303653282</v>
      </c>
      <c r="I17" s="501">
        <f>H17-G17</f>
        <v>0</v>
      </c>
      <c r="J17" s="501"/>
      <c r="K17" s="502">
        <f>+G17</f>
        <v>558075.303653282</v>
      </c>
      <c r="L17" s="504">
        <f t="shared" ref="L17:L71" si="1">IF(K17&lt;&gt;0,+G17-K17,0)</f>
        <v>0</v>
      </c>
      <c r="M17" s="502">
        <f>+H17</f>
        <v>558075.303653282</v>
      </c>
      <c r="N17" s="504">
        <f t="shared" ref="N17:N71" si="2">IF(M17&lt;&gt;0,+H17-M17,0)</f>
        <v>0</v>
      </c>
      <c r="O17" s="505">
        <f t="shared" ref="O17:O71" si="3">+N17-L17</f>
        <v>0</v>
      </c>
      <c r="P17" s="279"/>
    </row>
    <row r="18" spans="2:16" ht="12.5">
      <c r="B18" s="145" t="str">
        <f t="shared" si="0"/>
        <v/>
      </c>
      <c r="C18" s="496">
        <f>IF(D11="","-",+C17+1)</f>
        <v>2018</v>
      </c>
      <c r="D18" s="615">
        <v>8826095.0174603406</v>
      </c>
      <c r="E18" s="614">
        <v>218244.25465113699</v>
      </c>
      <c r="F18" s="615">
        <v>8607850.7628092039</v>
      </c>
      <c r="G18" s="614">
        <v>1242410.3516112138</v>
      </c>
      <c r="H18" s="618">
        <v>1242410.3516112138</v>
      </c>
      <c r="I18" s="501">
        <f t="shared" ref="I18:I71" si="4">H18-G18</f>
        <v>0</v>
      </c>
      <c r="J18" s="501"/>
      <c r="K18" s="593">
        <f>+G18</f>
        <v>1242410.3516112138</v>
      </c>
      <c r="L18" s="597">
        <f t="shared" si="1"/>
        <v>0</v>
      </c>
      <c r="M18" s="593">
        <f>+H18</f>
        <v>1242410.3516112138</v>
      </c>
      <c r="N18" s="505">
        <f t="shared" si="2"/>
        <v>0</v>
      </c>
      <c r="O18" s="505">
        <f t="shared" si="3"/>
        <v>0</v>
      </c>
      <c r="P18" s="279"/>
    </row>
    <row r="19" spans="2:16" ht="12.5">
      <c r="B19" s="145" t="str">
        <f t="shared" si="0"/>
        <v/>
      </c>
      <c r="C19" s="496">
        <f>IF(D11="","-",+C18+1)</f>
        <v>2019</v>
      </c>
      <c r="D19" s="615">
        <v>8607850.7628092039</v>
      </c>
      <c r="E19" s="614">
        <v>218244.25465113699</v>
      </c>
      <c r="F19" s="615">
        <v>8389606.5081580672</v>
      </c>
      <c r="G19" s="614">
        <v>1216768.6100012362</v>
      </c>
      <c r="H19" s="618">
        <v>1216768.6100012362</v>
      </c>
      <c r="I19" s="501">
        <f t="shared" si="4"/>
        <v>0</v>
      </c>
      <c r="J19" s="501"/>
      <c r="K19" s="593">
        <f>+G19</f>
        <v>1216768.6100012362</v>
      </c>
      <c r="L19" s="597">
        <f t="shared" ref="L19" si="5">IF(K19&lt;&gt;0,+G19-K19,0)</f>
        <v>0</v>
      </c>
      <c r="M19" s="593">
        <f>+H19</f>
        <v>1216768.6100012362</v>
      </c>
      <c r="N19" s="505">
        <f t="shared" ref="N19" si="6">IF(M19&lt;&gt;0,+H19-M19,0)</f>
        <v>0</v>
      </c>
      <c r="O19" s="505">
        <f t="shared" ref="O19" si="7">+N19-L19</f>
        <v>0</v>
      </c>
      <c r="P19" s="279"/>
    </row>
    <row r="20" spans="2:16" ht="12.5">
      <c r="B20" s="145" t="str">
        <f t="shared" si="0"/>
        <v>IU</v>
      </c>
      <c r="C20" s="496">
        <f>IF(D11="","-",+C19+1)</f>
        <v>2020</v>
      </c>
      <c r="D20" s="615">
        <v>9147876.5081580672</v>
      </c>
      <c r="E20" s="614">
        <v>282782.06007850129</v>
      </c>
      <c r="F20" s="615">
        <v>8865094.4480795655</v>
      </c>
      <c r="G20" s="614">
        <v>1227854.794149773</v>
      </c>
      <c r="H20" s="618">
        <v>1227854.794149773</v>
      </c>
      <c r="I20" s="501">
        <f t="shared" si="4"/>
        <v>0</v>
      </c>
      <c r="J20" s="501"/>
      <c r="K20" s="593">
        <f>+G20</f>
        <v>1227854.794149773</v>
      </c>
      <c r="L20" s="597">
        <f t="shared" ref="L20" si="8">IF(K20&lt;&gt;0,+G20-K20,0)</f>
        <v>0</v>
      </c>
      <c r="M20" s="593">
        <f>+H20</f>
        <v>1227854.794149773</v>
      </c>
      <c r="N20" s="505">
        <f t="shared" si="2"/>
        <v>0</v>
      </c>
      <c r="O20" s="505">
        <f t="shared" si="3"/>
        <v>0</v>
      </c>
      <c r="P20" s="279"/>
    </row>
    <row r="21" spans="2:16" ht="12.5">
      <c r="B21" s="145" t="str">
        <f t="shared" si="0"/>
        <v>IU</v>
      </c>
      <c r="C21" s="496">
        <f>IF(D11="","-",+C20+1)</f>
        <v>2021</v>
      </c>
      <c r="D21" s="509">
        <f>IF(F20+SUM(E$17:E20)=D$10,F20,D$10-SUM(E$17:E20))</f>
        <v>8870775.4480795655</v>
      </c>
      <c r="E21" s="510">
        <f t="shared" ref="E21:E49" si="9">IF(+I$14&lt;F20,I$14,D21)</f>
        <v>284204.4411764706</v>
      </c>
      <c r="F21" s="511">
        <f t="shared" ref="F21:F71" si="10">+D21-E21</f>
        <v>8586571.0069030952</v>
      </c>
      <c r="G21" s="512">
        <f t="shared" ref="G21:G48" si="11">(D21+F21)/2*I$12+E21</f>
        <v>1213084.9584966069</v>
      </c>
      <c r="H21" s="478">
        <f t="shared" ref="H21:H48" si="12">+(D21+F21)/2*I$13+E21</f>
        <v>1213084.9584966069</v>
      </c>
      <c r="I21" s="501">
        <f t="shared" si="4"/>
        <v>0</v>
      </c>
      <c r="J21" s="501"/>
      <c r="K21" s="513"/>
      <c r="L21" s="505">
        <f t="shared" si="1"/>
        <v>0</v>
      </c>
      <c r="M21" s="513"/>
      <c r="N21" s="505">
        <f t="shared" si="2"/>
        <v>0</v>
      </c>
      <c r="O21" s="505">
        <f t="shared" si="3"/>
        <v>0</v>
      </c>
      <c r="P21" s="279"/>
    </row>
    <row r="22" spans="2:16" ht="12.5">
      <c r="B22" s="145" t="str">
        <f t="shared" si="0"/>
        <v/>
      </c>
      <c r="C22" s="496">
        <f>IF(D11="","-",+C21+1)</f>
        <v>2022</v>
      </c>
      <c r="D22" s="509">
        <f>IF(F21+SUM(E$17:E21)=D$10,F21,D$10-SUM(E$17:E21))</f>
        <v>8586571.0069030952</v>
      </c>
      <c r="E22" s="510">
        <f t="shared" si="9"/>
        <v>284204.4411764706</v>
      </c>
      <c r="F22" s="511">
        <f t="shared" si="10"/>
        <v>8302366.5657266248</v>
      </c>
      <c r="G22" s="512">
        <f t="shared" si="11"/>
        <v>1182840.7322019134</v>
      </c>
      <c r="H22" s="478">
        <f t="shared" si="12"/>
        <v>1182840.7322019134</v>
      </c>
      <c r="I22" s="501">
        <f t="shared" si="4"/>
        <v>0</v>
      </c>
      <c r="J22" s="501"/>
      <c r="K22" s="513"/>
      <c r="L22" s="505">
        <f t="shared" si="1"/>
        <v>0</v>
      </c>
      <c r="M22" s="513"/>
      <c r="N22" s="505">
        <f t="shared" si="2"/>
        <v>0</v>
      </c>
      <c r="O22" s="505">
        <f t="shared" si="3"/>
        <v>0</v>
      </c>
      <c r="P22" s="279"/>
    </row>
    <row r="23" spans="2:16" ht="12.5">
      <c r="B23" s="145" t="str">
        <f t="shared" si="0"/>
        <v/>
      </c>
      <c r="C23" s="496">
        <f>IF(D11="","-",+C22+1)</f>
        <v>2023</v>
      </c>
      <c r="D23" s="509">
        <f>IF(F22+SUM(E$17:E22)=D$10,F22,D$10-SUM(E$17:E22))</f>
        <v>8302366.5657266248</v>
      </c>
      <c r="E23" s="510">
        <f t="shared" si="9"/>
        <v>284204.4411764706</v>
      </c>
      <c r="F23" s="511">
        <f t="shared" si="10"/>
        <v>8018162.1245501544</v>
      </c>
      <c r="G23" s="512">
        <f t="shared" si="11"/>
        <v>1152596.5059072201</v>
      </c>
      <c r="H23" s="478">
        <f t="shared" si="12"/>
        <v>1152596.5059072201</v>
      </c>
      <c r="I23" s="501">
        <f t="shared" si="4"/>
        <v>0</v>
      </c>
      <c r="J23" s="501"/>
      <c r="K23" s="513"/>
      <c r="L23" s="505">
        <f t="shared" si="1"/>
        <v>0</v>
      </c>
      <c r="M23" s="513"/>
      <c r="N23" s="505">
        <f t="shared" si="2"/>
        <v>0</v>
      </c>
      <c r="O23" s="505">
        <f t="shared" si="3"/>
        <v>0</v>
      </c>
      <c r="P23" s="279"/>
    </row>
    <row r="24" spans="2:16" ht="12.5">
      <c r="B24" s="145" t="str">
        <f t="shared" si="0"/>
        <v/>
      </c>
      <c r="C24" s="496">
        <f>IF(D11="","-",+C23+1)</f>
        <v>2024</v>
      </c>
      <c r="D24" s="509">
        <f>IF(F23+SUM(E$17:E23)=D$10,F23,D$10-SUM(E$17:E23))</f>
        <v>8018162.1245501544</v>
      </c>
      <c r="E24" s="510">
        <f t="shared" si="9"/>
        <v>284204.4411764706</v>
      </c>
      <c r="F24" s="511">
        <f t="shared" si="10"/>
        <v>7733957.6833736841</v>
      </c>
      <c r="G24" s="512">
        <f t="shared" si="11"/>
        <v>1122352.2796125268</v>
      </c>
      <c r="H24" s="478">
        <f t="shared" si="12"/>
        <v>1122352.2796125268</v>
      </c>
      <c r="I24" s="501">
        <f t="shared" si="4"/>
        <v>0</v>
      </c>
      <c r="J24" s="501"/>
      <c r="K24" s="513"/>
      <c r="L24" s="505">
        <f t="shared" si="1"/>
        <v>0</v>
      </c>
      <c r="M24" s="513"/>
      <c r="N24" s="505">
        <f t="shared" si="2"/>
        <v>0</v>
      </c>
      <c r="O24" s="505">
        <f t="shared" si="3"/>
        <v>0</v>
      </c>
      <c r="P24" s="279"/>
    </row>
    <row r="25" spans="2:16" ht="12.5">
      <c r="B25" s="145" t="str">
        <f t="shared" si="0"/>
        <v/>
      </c>
      <c r="C25" s="496">
        <f>IF(D11="","-",+C24+1)</f>
        <v>2025</v>
      </c>
      <c r="D25" s="509">
        <f>IF(F24+SUM(E$17:E24)=D$10,F24,D$10-SUM(E$17:E24))</f>
        <v>7733957.6833736841</v>
      </c>
      <c r="E25" s="510">
        <f t="shared" si="9"/>
        <v>284204.4411764706</v>
      </c>
      <c r="F25" s="511">
        <f t="shared" si="10"/>
        <v>7449753.2421972137</v>
      </c>
      <c r="G25" s="512">
        <f t="shared" si="11"/>
        <v>1092108.0533178332</v>
      </c>
      <c r="H25" s="478">
        <f t="shared" si="12"/>
        <v>1092108.0533178332</v>
      </c>
      <c r="I25" s="501">
        <f t="shared" si="4"/>
        <v>0</v>
      </c>
      <c r="J25" s="501"/>
      <c r="K25" s="513"/>
      <c r="L25" s="505">
        <f t="shared" si="1"/>
        <v>0</v>
      </c>
      <c r="M25" s="513"/>
      <c r="N25" s="505">
        <f t="shared" si="2"/>
        <v>0</v>
      </c>
      <c r="O25" s="505">
        <f t="shared" si="3"/>
        <v>0</v>
      </c>
      <c r="P25" s="279"/>
    </row>
    <row r="26" spans="2:16" ht="12.5">
      <c r="B26" s="145" t="str">
        <f t="shared" si="0"/>
        <v/>
      </c>
      <c r="C26" s="496">
        <f>IF(D11="","-",+C25+1)</f>
        <v>2026</v>
      </c>
      <c r="D26" s="509">
        <f>IF(F25+SUM(E$17:E25)=D$10,F25,D$10-SUM(E$17:E25))</f>
        <v>7449753.2421972137</v>
      </c>
      <c r="E26" s="510">
        <f t="shared" si="9"/>
        <v>284204.4411764706</v>
      </c>
      <c r="F26" s="511">
        <f t="shared" si="10"/>
        <v>7165548.8010207433</v>
      </c>
      <c r="G26" s="512">
        <f t="shared" si="11"/>
        <v>1061863.8270231397</v>
      </c>
      <c r="H26" s="478">
        <f t="shared" si="12"/>
        <v>1061863.8270231397</v>
      </c>
      <c r="I26" s="501">
        <f t="shared" si="4"/>
        <v>0</v>
      </c>
      <c r="J26" s="501"/>
      <c r="K26" s="513"/>
      <c r="L26" s="505">
        <f t="shared" si="1"/>
        <v>0</v>
      </c>
      <c r="M26" s="513"/>
      <c r="N26" s="505">
        <f t="shared" si="2"/>
        <v>0</v>
      </c>
      <c r="O26" s="505">
        <f t="shared" si="3"/>
        <v>0</v>
      </c>
      <c r="P26" s="279"/>
    </row>
    <row r="27" spans="2:16" ht="12.5">
      <c r="B27" s="145" t="str">
        <f t="shared" si="0"/>
        <v/>
      </c>
      <c r="C27" s="496">
        <f>IF(D11="","-",+C26+1)</f>
        <v>2027</v>
      </c>
      <c r="D27" s="509">
        <f>IF(F26+SUM(E$17:E26)=D$10,F26,D$10-SUM(E$17:E26))</f>
        <v>7165548.8010207433</v>
      </c>
      <c r="E27" s="510">
        <f t="shared" si="9"/>
        <v>284204.4411764706</v>
      </c>
      <c r="F27" s="511">
        <f t="shared" si="10"/>
        <v>6881344.359844273</v>
      </c>
      <c r="G27" s="512">
        <f t="shared" si="11"/>
        <v>1031619.6007284463</v>
      </c>
      <c r="H27" s="478">
        <f t="shared" si="12"/>
        <v>1031619.6007284463</v>
      </c>
      <c r="I27" s="501">
        <f t="shared" si="4"/>
        <v>0</v>
      </c>
      <c r="J27" s="501"/>
      <c r="K27" s="513"/>
      <c r="L27" s="505">
        <f t="shared" si="1"/>
        <v>0</v>
      </c>
      <c r="M27" s="513"/>
      <c r="N27" s="505">
        <f t="shared" si="2"/>
        <v>0</v>
      </c>
      <c r="O27" s="505">
        <f t="shared" si="3"/>
        <v>0</v>
      </c>
      <c r="P27" s="279"/>
    </row>
    <row r="28" spans="2:16" ht="12.5">
      <c r="B28" s="145" t="str">
        <f t="shared" si="0"/>
        <v/>
      </c>
      <c r="C28" s="496">
        <f>IF(D11="","-",+C27+1)</f>
        <v>2028</v>
      </c>
      <c r="D28" s="509">
        <f>IF(F27+SUM(E$17:E27)=D$10,F27,D$10-SUM(E$17:E27))</f>
        <v>6881344.359844273</v>
      </c>
      <c r="E28" s="510">
        <f t="shared" si="9"/>
        <v>284204.4411764706</v>
      </c>
      <c r="F28" s="511">
        <f t="shared" si="10"/>
        <v>6597139.9186678026</v>
      </c>
      <c r="G28" s="512">
        <f t="shared" si="11"/>
        <v>1001375.3744337528</v>
      </c>
      <c r="H28" s="478">
        <f t="shared" si="12"/>
        <v>1001375.3744337528</v>
      </c>
      <c r="I28" s="501">
        <f t="shared" si="4"/>
        <v>0</v>
      </c>
      <c r="J28" s="501"/>
      <c r="K28" s="513"/>
      <c r="L28" s="505">
        <f t="shared" si="1"/>
        <v>0</v>
      </c>
      <c r="M28" s="513"/>
      <c r="N28" s="505">
        <f t="shared" si="2"/>
        <v>0</v>
      </c>
      <c r="O28" s="505">
        <f t="shared" si="3"/>
        <v>0</v>
      </c>
      <c r="P28" s="279"/>
    </row>
    <row r="29" spans="2:16" ht="12.5">
      <c r="B29" s="145" t="str">
        <f t="shared" si="0"/>
        <v/>
      </c>
      <c r="C29" s="496">
        <f>IF(D11="","-",+C28+1)</f>
        <v>2029</v>
      </c>
      <c r="D29" s="509">
        <f>IF(F28+SUM(E$17:E28)=D$10,F28,D$10-SUM(E$17:E28))</f>
        <v>6597139.9186678026</v>
      </c>
      <c r="E29" s="510">
        <f t="shared" si="9"/>
        <v>284204.4411764706</v>
      </c>
      <c r="F29" s="511">
        <f t="shared" si="10"/>
        <v>6312935.4774913322</v>
      </c>
      <c r="G29" s="512">
        <f t="shared" si="11"/>
        <v>971131.14813905931</v>
      </c>
      <c r="H29" s="478">
        <f t="shared" si="12"/>
        <v>971131.14813905931</v>
      </c>
      <c r="I29" s="501">
        <f t="shared" si="4"/>
        <v>0</v>
      </c>
      <c r="J29" s="501"/>
      <c r="K29" s="513"/>
      <c r="L29" s="505">
        <f t="shared" si="1"/>
        <v>0</v>
      </c>
      <c r="M29" s="513"/>
      <c r="N29" s="505">
        <f t="shared" si="2"/>
        <v>0</v>
      </c>
      <c r="O29" s="505">
        <f t="shared" si="3"/>
        <v>0</v>
      </c>
      <c r="P29" s="279"/>
    </row>
    <row r="30" spans="2:16" ht="12.5">
      <c r="B30" s="145" t="str">
        <f t="shared" si="0"/>
        <v/>
      </c>
      <c r="C30" s="496">
        <f>IF(D11="","-",+C29+1)</f>
        <v>2030</v>
      </c>
      <c r="D30" s="509">
        <f>IF(F29+SUM(E$17:E29)=D$10,F29,D$10-SUM(E$17:E29))</f>
        <v>6312935.4774913322</v>
      </c>
      <c r="E30" s="510">
        <f t="shared" si="9"/>
        <v>284204.4411764706</v>
      </c>
      <c r="F30" s="511">
        <f t="shared" si="10"/>
        <v>6028731.0363148618</v>
      </c>
      <c r="G30" s="512">
        <f t="shared" si="11"/>
        <v>940886.92184436589</v>
      </c>
      <c r="H30" s="478">
        <f t="shared" si="12"/>
        <v>940886.92184436589</v>
      </c>
      <c r="I30" s="501">
        <f t="shared" si="4"/>
        <v>0</v>
      </c>
      <c r="J30" s="501"/>
      <c r="K30" s="513"/>
      <c r="L30" s="505">
        <f t="shared" si="1"/>
        <v>0</v>
      </c>
      <c r="M30" s="513"/>
      <c r="N30" s="505">
        <f t="shared" si="2"/>
        <v>0</v>
      </c>
      <c r="O30" s="505">
        <f t="shared" si="3"/>
        <v>0</v>
      </c>
      <c r="P30" s="279"/>
    </row>
    <row r="31" spans="2:16" ht="12.5">
      <c r="B31" s="145" t="str">
        <f t="shared" si="0"/>
        <v/>
      </c>
      <c r="C31" s="496">
        <f>IF(D11="","-",+C30+1)</f>
        <v>2031</v>
      </c>
      <c r="D31" s="509">
        <f>IF(F30+SUM(E$17:E30)=D$10,F30,D$10-SUM(E$17:E30))</f>
        <v>6028731.0363148618</v>
      </c>
      <c r="E31" s="510">
        <f t="shared" si="9"/>
        <v>284204.4411764706</v>
      </c>
      <c r="F31" s="511">
        <f t="shared" si="10"/>
        <v>5744526.5951383915</v>
      </c>
      <c r="G31" s="512">
        <f t="shared" si="11"/>
        <v>910642.69554967247</v>
      </c>
      <c r="H31" s="478">
        <f t="shared" si="12"/>
        <v>910642.69554967247</v>
      </c>
      <c r="I31" s="501">
        <f t="shared" si="4"/>
        <v>0</v>
      </c>
      <c r="J31" s="501"/>
      <c r="K31" s="513"/>
      <c r="L31" s="505">
        <f t="shared" si="1"/>
        <v>0</v>
      </c>
      <c r="M31" s="513"/>
      <c r="N31" s="505">
        <f t="shared" si="2"/>
        <v>0</v>
      </c>
      <c r="O31" s="505">
        <f t="shared" si="3"/>
        <v>0</v>
      </c>
      <c r="P31" s="279"/>
    </row>
    <row r="32" spans="2:16" ht="12.5">
      <c r="B32" s="145" t="str">
        <f t="shared" si="0"/>
        <v/>
      </c>
      <c r="C32" s="496">
        <f>IF(D11="","-",+C31+1)</f>
        <v>2032</v>
      </c>
      <c r="D32" s="509">
        <f>IF(F31+SUM(E$17:E31)=D$10,F31,D$10-SUM(E$17:E31))</f>
        <v>5744526.5951383915</v>
      </c>
      <c r="E32" s="510">
        <f t="shared" si="9"/>
        <v>284204.4411764706</v>
      </c>
      <c r="F32" s="511">
        <f t="shared" si="10"/>
        <v>5460322.1539619211</v>
      </c>
      <c r="G32" s="512">
        <f t="shared" si="11"/>
        <v>880398.46925497905</v>
      </c>
      <c r="H32" s="478">
        <f t="shared" si="12"/>
        <v>880398.46925497905</v>
      </c>
      <c r="I32" s="501">
        <f t="shared" si="4"/>
        <v>0</v>
      </c>
      <c r="J32" s="501"/>
      <c r="K32" s="513"/>
      <c r="L32" s="505">
        <f t="shared" si="1"/>
        <v>0</v>
      </c>
      <c r="M32" s="513"/>
      <c r="N32" s="505">
        <f t="shared" si="2"/>
        <v>0</v>
      </c>
      <c r="O32" s="505">
        <f t="shared" si="3"/>
        <v>0</v>
      </c>
      <c r="P32" s="279"/>
    </row>
    <row r="33" spans="2:16" ht="12.5">
      <c r="B33" s="145" t="str">
        <f t="shared" si="0"/>
        <v/>
      </c>
      <c r="C33" s="496">
        <f>IF(D11="","-",+C32+1)</f>
        <v>2033</v>
      </c>
      <c r="D33" s="509">
        <f>IF(F32+SUM(E$17:E32)=D$10,F32,D$10-SUM(E$17:E32))</f>
        <v>5460322.1539619211</v>
      </c>
      <c r="E33" s="510">
        <f t="shared" si="9"/>
        <v>284204.4411764706</v>
      </c>
      <c r="F33" s="511">
        <f t="shared" si="10"/>
        <v>5176117.7127854507</v>
      </c>
      <c r="G33" s="512">
        <f t="shared" si="11"/>
        <v>850154.24296028551</v>
      </c>
      <c r="H33" s="478">
        <f t="shared" si="12"/>
        <v>850154.24296028551</v>
      </c>
      <c r="I33" s="501">
        <f t="shared" si="4"/>
        <v>0</v>
      </c>
      <c r="J33" s="501"/>
      <c r="K33" s="513"/>
      <c r="L33" s="505">
        <f t="shared" si="1"/>
        <v>0</v>
      </c>
      <c r="M33" s="513"/>
      <c r="N33" s="505">
        <f t="shared" si="2"/>
        <v>0</v>
      </c>
      <c r="O33" s="505">
        <f t="shared" si="3"/>
        <v>0</v>
      </c>
      <c r="P33" s="279"/>
    </row>
    <row r="34" spans="2:16" ht="12.5">
      <c r="B34" s="145" t="str">
        <f t="shared" si="0"/>
        <v/>
      </c>
      <c r="C34" s="496">
        <f>IF(D11="","-",+C33+1)</f>
        <v>2034</v>
      </c>
      <c r="D34" s="509">
        <f>IF(F33+SUM(E$17:E33)=D$10,F33,D$10-SUM(E$17:E33))</f>
        <v>5176117.7127854507</v>
      </c>
      <c r="E34" s="510">
        <f t="shared" si="9"/>
        <v>284204.4411764706</v>
      </c>
      <c r="F34" s="511">
        <f t="shared" si="10"/>
        <v>4891913.2716089804</v>
      </c>
      <c r="G34" s="512">
        <f t="shared" si="11"/>
        <v>819910.01666559209</v>
      </c>
      <c r="H34" s="478">
        <f t="shared" si="12"/>
        <v>819910.01666559209</v>
      </c>
      <c r="I34" s="501">
        <f t="shared" si="4"/>
        <v>0</v>
      </c>
      <c r="J34" s="501"/>
      <c r="K34" s="513"/>
      <c r="L34" s="505">
        <f t="shared" si="1"/>
        <v>0</v>
      </c>
      <c r="M34" s="513"/>
      <c r="N34" s="505">
        <f t="shared" si="2"/>
        <v>0</v>
      </c>
      <c r="O34" s="505">
        <f t="shared" si="3"/>
        <v>0</v>
      </c>
      <c r="P34" s="279"/>
    </row>
    <row r="35" spans="2:16" ht="12.5">
      <c r="B35" s="145" t="str">
        <f t="shared" si="0"/>
        <v/>
      </c>
      <c r="C35" s="496">
        <f>IF(D11="","-",+C34+1)</f>
        <v>2035</v>
      </c>
      <c r="D35" s="509">
        <f>IF(F34+SUM(E$17:E34)=D$10,F34,D$10-SUM(E$17:E34))</f>
        <v>4891913.2716089804</v>
      </c>
      <c r="E35" s="510">
        <f t="shared" si="9"/>
        <v>284204.4411764706</v>
      </c>
      <c r="F35" s="511">
        <f t="shared" si="10"/>
        <v>4607708.83043251</v>
      </c>
      <c r="G35" s="512">
        <f t="shared" si="11"/>
        <v>789665.79037089867</v>
      </c>
      <c r="H35" s="478">
        <f t="shared" si="12"/>
        <v>789665.79037089867</v>
      </c>
      <c r="I35" s="501">
        <f t="shared" si="4"/>
        <v>0</v>
      </c>
      <c r="J35" s="501"/>
      <c r="K35" s="513"/>
      <c r="L35" s="505">
        <f t="shared" si="1"/>
        <v>0</v>
      </c>
      <c r="M35" s="513"/>
      <c r="N35" s="505">
        <f t="shared" si="2"/>
        <v>0</v>
      </c>
      <c r="O35" s="505">
        <f t="shared" si="3"/>
        <v>0</v>
      </c>
      <c r="P35" s="279"/>
    </row>
    <row r="36" spans="2:16" ht="12.5">
      <c r="B36" s="145" t="str">
        <f t="shared" si="0"/>
        <v/>
      </c>
      <c r="C36" s="496">
        <f>IF(D11="","-",+C35+1)</f>
        <v>2036</v>
      </c>
      <c r="D36" s="509">
        <f>IF(F35+SUM(E$17:E35)=D$10,F35,D$10-SUM(E$17:E35))</f>
        <v>4607708.83043251</v>
      </c>
      <c r="E36" s="510">
        <f t="shared" si="9"/>
        <v>284204.4411764706</v>
      </c>
      <c r="F36" s="511">
        <f t="shared" si="10"/>
        <v>4323504.3892560396</v>
      </c>
      <c r="G36" s="512">
        <f t="shared" si="11"/>
        <v>759421.56407620525</v>
      </c>
      <c r="H36" s="478">
        <f t="shared" si="12"/>
        <v>759421.56407620525</v>
      </c>
      <c r="I36" s="501">
        <f t="shared" si="4"/>
        <v>0</v>
      </c>
      <c r="J36" s="501"/>
      <c r="K36" s="513"/>
      <c r="L36" s="505">
        <f t="shared" si="1"/>
        <v>0</v>
      </c>
      <c r="M36" s="513"/>
      <c r="N36" s="505">
        <f t="shared" si="2"/>
        <v>0</v>
      </c>
      <c r="O36" s="505">
        <f t="shared" si="3"/>
        <v>0</v>
      </c>
      <c r="P36" s="279"/>
    </row>
    <row r="37" spans="2:16" ht="12.5">
      <c r="B37" s="145" t="str">
        <f t="shared" si="0"/>
        <v/>
      </c>
      <c r="C37" s="496">
        <f>IF(D11="","-",+C36+1)</f>
        <v>2037</v>
      </c>
      <c r="D37" s="509">
        <f>IF(F36+SUM(E$17:E36)=D$10,F36,D$10-SUM(E$17:E36))</f>
        <v>4323504.3892560396</v>
      </c>
      <c r="E37" s="510">
        <f t="shared" si="9"/>
        <v>284204.4411764706</v>
      </c>
      <c r="F37" s="511">
        <f t="shared" si="10"/>
        <v>4039299.9480795693</v>
      </c>
      <c r="G37" s="512">
        <f t="shared" si="11"/>
        <v>729177.33778151171</v>
      </c>
      <c r="H37" s="478">
        <f t="shared" si="12"/>
        <v>729177.33778151171</v>
      </c>
      <c r="I37" s="501">
        <f t="shared" si="4"/>
        <v>0</v>
      </c>
      <c r="J37" s="501"/>
      <c r="K37" s="513"/>
      <c r="L37" s="505">
        <f t="shared" si="1"/>
        <v>0</v>
      </c>
      <c r="M37" s="513"/>
      <c r="N37" s="505">
        <f t="shared" si="2"/>
        <v>0</v>
      </c>
      <c r="O37" s="505">
        <f t="shared" si="3"/>
        <v>0</v>
      </c>
      <c r="P37" s="279"/>
    </row>
    <row r="38" spans="2:16" ht="12.5">
      <c r="B38" s="145" t="str">
        <f t="shared" si="0"/>
        <v/>
      </c>
      <c r="C38" s="496">
        <f>IF(D11="","-",+C37+1)</f>
        <v>2038</v>
      </c>
      <c r="D38" s="509">
        <f>IF(F37+SUM(E$17:E37)=D$10,F37,D$10-SUM(E$17:E37))</f>
        <v>4039299.9480795693</v>
      </c>
      <c r="E38" s="510">
        <f t="shared" si="9"/>
        <v>284204.4411764706</v>
      </c>
      <c r="F38" s="511">
        <f t="shared" si="10"/>
        <v>3755095.5069030989</v>
      </c>
      <c r="G38" s="512">
        <f t="shared" si="11"/>
        <v>698933.11148681829</v>
      </c>
      <c r="H38" s="478">
        <f t="shared" si="12"/>
        <v>698933.11148681829</v>
      </c>
      <c r="I38" s="501">
        <f t="shared" si="4"/>
        <v>0</v>
      </c>
      <c r="J38" s="501"/>
      <c r="K38" s="513"/>
      <c r="L38" s="505">
        <f t="shared" si="1"/>
        <v>0</v>
      </c>
      <c r="M38" s="513"/>
      <c r="N38" s="505">
        <f t="shared" si="2"/>
        <v>0</v>
      </c>
      <c r="O38" s="505">
        <f t="shared" si="3"/>
        <v>0</v>
      </c>
      <c r="P38" s="279"/>
    </row>
    <row r="39" spans="2:16" ht="12.5">
      <c r="B39" s="145" t="str">
        <f t="shared" si="0"/>
        <v/>
      </c>
      <c r="C39" s="496">
        <f>IF(D11="","-",+C38+1)</f>
        <v>2039</v>
      </c>
      <c r="D39" s="509">
        <f>IF(F38+SUM(E$17:E38)=D$10,F38,D$10-SUM(E$17:E38))</f>
        <v>3755095.5069030989</v>
      </c>
      <c r="E39" s="510">
        <f t="shared" si="9"/>
        <v>284204.4411764706</v>
      </c>
      <c r="F39" s="511">
        <f t="shared" si="10"/>
        <v>3470891.0657266285</v>
      </c>
      <c r="G39" s="512">
        <f t="shared" si="11"/>
        <v>668688.88519212487</v>
      </c>
      <c r="H39" s="478">
        <f t="shared" si="12"/>
        <v>668688.88519212487</v>
      </c>
      <c r="I39" s="501">
        <f t="shared" si="4"/>
        <v>0</v>
      </c>
      <c r="J39" s="501"/>
      <c r="K39" s="513"/>
      <c r="L39" s="505">
        <f t="shared" si="1"/>
        <v>0</v>
      </c>
      <c r="M39" s="513"/>
      <c r="N39" s="505">
        <f t="shared" si="2"/>
        <v>0</v>
      </c>
      <c r="O39" s="505">
        <f t="shared" si="3"/>
        <v>0</v>
      </c>
      <c r="P39" s="279"/>
    </row>
    <row r="40" spans="2:16" ht="12.5">
      <c r="B40" s="145" t="str">
        <f t="shared" si="0"/>
        <v/>
      </c>
      <c r="C40" s="496">
        <f>IF(D11="","-",+C39+1)</f>
        <v>2040</v>
      </c>
      <c r="D40" s="509">
        <f>IF(F39+SUM(E$17:E39)=D$10,F39,D$10-SUM(E$17:E39))</f>
        <v>3470891.0657266285</v>
      </c>
      <c r="E40" s="510">
        <f t="shared" si="9"/>
        <v>284204.4411764706</v>
      </c>
      <c r="F40" s="511">
        <f t="shared" si="10"/>
        <v>3186686.6245501582</v>
      </c>
      <c r="G40" s="512">
        <f t="shared" si="11"/>
        <v>638444.65889743133</v>
      </c>
      <c r="H40" s="478">
        <f t="shared" si="12"/>
        <v>638444.65889743133</v>
      </c>
      <c r="I40" s="501">
        <f t="shared" si="4"/>
        <v>0</v>
      </c>
      <c r="J40" s="501"/>
      <c r="K40" s="513"/>
      <c r="L40" s="505">
        <f t="shared" si="1"/>
        <v>0</v>
      </c>
      <c r="M40" s="513"/>
      <c r="N40" s="505">
        <f t="shared" si="2"/>
        <v>0</v>
      </c>
      <c r="O40" s="505">
        <f t="shared" si="3"/>
        <v>0</v>
      </c>
      <c r="P40" s="279"/>
    </row>
    <row r="41" spans="2:16" ht="12.5">
      <c r="B41" s="145" t="str">
        <f t="shared" si="0"/>
        <v/>
      </c>
      <c r="C41" s="496">
        <f>IF(D11="","-",+C40+1)</f>
        <v>2041</v>
      </c>
      <c r="D41" s="509">
        <f>IF(F40+SUM(E$17:E40)=D$10,F40,D$10-SUM(E$17:E40))</f>
        <v>3186686.6245501582</v>
      </c>
      <c r="E41" s="510">
        <f t="shared" si="9"/>
        <v>284204.4411764706</v>
      </c>
      <c r="F41" s="511">
        <f t="shared" si="10"/>
        <v>2902482.1833736878</v>
      </c>
      <c r="G41" s="512">
        <f t="shared" si="11"/>
        <v>608200.43260273791</v>
      </c>
      <c r="H41" s="478">
        <f t="shared" si="12"/>
        <v>608200.43260273791</v>
      </c>
      <c r="I41" s="501">
        <f t="shared" si="4"/>
        <v>0</v>
      </c>
      <c r="J41" s="501"/>
      <c r="K41" s="513"/>
      <c r="L41" s="505">
        <f t="shared" si="1"/>
        <v>0</v>
      </c>
      <c r="M41" s="513"/>
      <c r="N41" s="505">
        <f t="shared" si="2"/>
        <v>0</v>
      </c>
      <c r="O41" s="505">
        <f t="shared" si="3"/>
        <v>0</v>
      </c>
      <c r="P41" s="279"/>
    </row>
    <row r="42" spans="2:16" ht="12.5">
      <c r="B42" s="145" t="str">
        <f t="shared" si="0"/>
        <v/>
      </c>
      <c r="C42" s="496">
        <f>IF(D11="","-",+C41+1)</f>
        <v>2042</v>
      </c>
      <c r="D42" s="509">
        <f>IF(F41+SUM(E$17:E41)=D$10,F41,D$10-SUM(E$17:E41))</f>
        <v>2902482.1833736878</v>
      </c>
      <c r="E42" s="510">
        <f t="shared" si="9"/>
        <v>284204.4411764706</v>
      </c>
      <c r="F42" s="511">
        <f t="shared" si="10"/>
        <v>2618277.7421972174</v>
      </c>
      <c r="G42" s="512">
        <f t="shared" si="11"/>
        <v>577956.20630804449</v>
      </c>
      <c r="H42" s="478">
        <f t="shared" si="12"/>
        <v>577956.20630804449</v>
      </c>
      <c r="I42" s="501">
        <f t="shared" si="4"/>
        <v>0</v>
      </c>
      <c r="J42" s="501"/>
      <c r="K42" s="513"/>
      <c r="L42" s="505">
        <f t="shared" si="1"/>
        <v>0</v>
      </c>
      <c r="M42" s="513"/>
      <c r="N42" s="505">
        <f t="shared" si="2"/>
        <v>0</v>
      </c>
      <c r="O42" s="505">
        <f t="shared" si="3"/>
        <v>0</v>
      </c>
      <c r="P42" s="279"/>
    </row>
    <row r="43" spans="2:16" ht="12.5">
      <c r="B43" s="145" t="str">
        <f t="shared" si="0"/>
        <v/>
      </c>
      <c r="C43" s="496">
        <f>IF(D11="","-",+C42+1)</f>
        <v>2043</v>
      </c>
      <c r="D43" s="509">
        <f>IF(F42+SUM(E$17:E42)=D$10,F42,D$10-SUM(E$17:E42))</f>
        <v>2618277.7421972174</v>
      </c>
      <c r="E43" s="510">
        <f t="shared" si="9"/>
        <v>284204.4411764706</v>
      </c>
      <c r="F43" s="511">
        <f t="shared" si="10"/>
        <v>2334073.3010207471</v>
      </c>
      <c r="G43" s="512">
        <f t="shared" si="11"/>
        <v>547711.98001335096</v>
      </c>
      <c r="H43" s="478">
        <f t="shared" si="12"/>
        <v>547711.98001335096</v>
      </c>
      <c r="I43" s="501">
        <f t="shared" si="4"/>
        <v>0</v>
      </c>
      <c r="J43" s="501"/>
      <c r="K43" s="513"/>
      <c r="L43" s="505">
        <f t="shared" si="1"/>
        <v>0</v>
      </c>
      <c r="M43" s="513"/>
      <c r="N43" s="505">
        <f t="shared" si="2"/>
        <v>0</v>
      </c>
      <c r="O43" s="505">
        <f t="shared" si="3"/>
        <v>0</v>
      </c>
      <c r="P43" s="279"/>
    </row>
    <row r="44" spans="2:16" ht="12.5">
      <c r="B44" s="145" t="str">
        <f t="shared" si="0"/>
        <v/>
      </c>
      <c r="C44" s="496">
        <f>IF(D11="","-",+C43+1)</f>
        <v>2044</v>
      </c>
      <c r="D44" s="509">
        <f>IF(F43+SUM(E$17:E43)=D$10,F43,D$10-SUM(E$17:E43))</f>
        <v>2334073.3010207471</v>
      </c>
      <c r="E44" s="510">
        <f t="shared" si="9"/>
        <v>284204.4411764706</v>
      </c>
      <c r="F44" s="511">
        <f t="shared" si="10"/>
        <v>2049868.8598442764</v>
      </c>
      <c r="G44" s="512">
        <f t="shared" si="11"/>
        <v>517467.75371865754</v>
      </c>
      <c r="H44" s="478">
        <f t="shared" si="12"/>
        <v>517467.75371865754</v>
      </c>
      <c r="I44" s="501">
        <f t="shared" si="4"/>
        <v>0</v>
      </c>
      <c r="J44" s="501"/>
      <c r="K44" s="513"/>
      <c r="L44" s="505">
        <f t="shared" si="1"/>
        <v>0</v>
      </c>
      <c r="M44" s="513"/>
      <c r="N44" s="505">
        <f t="shared" si="2"/>
        <v>0</v>
      </c>
      <c r="O44" s="505">
        <f t="shared" si="3"/>
        <v>0</v>
      </c>
      <c r="P44" s="279"/>
    </row>
    <row r="45" spans="2:16" ht="12.5">
      <c r="B45" s="145" t="str">
        <f t="shared" si="0"/>
        <v/>
      </c>
      <c r="C45" s="496">
        <f>IF(D11="","-",+C44+1)</f>
        <v>2045</v>
      </c>
      <c r="D45" s="509">
        <f>IF(F44+SUM(E$17:E44)=D$10,F44,D$10-SUM(E$17:E44))</f>
        <v>2049868.8598442764</v>
      </c>
      <c r="E45" s="510">
        <f t="shared" si="9"/>
        <v>284204.4411764706</v>
      </c>
      <c r="F45" s="511">
        <f t="shared" si="10"/>
        <v>1765664.4186678058</v>
      </c>
      <c r="G45" s="512">
        <f t="shared" si="11"/>
        <v>487223.52742396406</v>
      </c>
      <c r="H45" s="478">
        <f t="shared" si="12"/>
        <v>487223.52742396406</v>
      </c>
      <c r="I45" s="501">
        <f t="shared" si="4"/>
        <v>0</v>
      </c>
      <c r="J45" s="501"/>
      <c r="K45" s="513"/>
      <c r="L45" s="505">
        <f t="shared" si="1"/>
        <v>0</v>
      </c>
      <c r="M45" s="513"/>
      <c r="N45" s="505">
        <f t="shared" si="2"/>
        <v>0</v>
      </c>
      <c r="O45" s="505">
        <f t="shared" si="3"/>
        <v>0</v>
      </c>
      <c r="P45" s="279"/>
    </row>
    <row r="46" spans="2:16" ht="12.5">
      <c r="B46" s="145" t="str">
        <f t="shared" si="0"/>
        <v/>
      </c>
      <c r="C46" s="496">
        <f>IF(D11="","-",+C45+1)</f>
        <v>2046</v>
      </c>
      <c r="D46" s="509">
        <f>IF(F45+SUM(E$17:E45)=D$10,F45,D$10-SUM(E$17:E45))</f>
        <v>1765664.4186678058</v>
      </c>
      <c r="E46" s="510">
        <f t="shared" si="9"/>
        <v>284204.4411764706</v>
      </c>
      <c r="F46" s="511">
        <f t="shared" si="10"/>
        <v>1481459.9774913352</v>
      </c>
      <c r="G46" s="512">
        <f t="shared" si="11"/>
        <v>456979.30112927058</v>
      </c>
      <c r="H46" s="478">
        <f t="shared" si="12"/>
        <v>456979.30112927058</v>
      </c>
      <c r="I46" s="501">
        <f t="shared" si="4"/>
        <v>0</v>
      </c>
      <c r="J46" s="501"/>
      <c r="K46" s="513"/>
      <c r="L46" s="505">
        <f t="shared" si="1"/>
        <v>0</v>
      </c>
      <c r="M46" s="513"/>
      <c r="N46" s="505">
        <f t="shared" si="2"/>
        <v>0</v>
      </c>
      <c r="O46" s="505">
        <f t="shared" si="3"/>
        <v>0</v>
      </c>
      <c r="P46" s="279"/>
    </row>
    <row r="47" spans="2:16" ht="12.5">
      <c r="B47" s="145" t="str">
        <f t="shared" si="0"/>
        <v/>
      </c>
      <c r="C47" s="496">
        <f>IF(D11="","-",+C46+1)</f>
        <v>2047</v>
      </c>
      <c r="D47" s="509">
        <f>IF(F46+SUM(E$17:E46)=D$10,F46,D$10-SUM(E$17:E46))</f>
        <v>1481459.9774913352</v>
      </c>
      <c r="E47" s="510">
        <f t="shared" si="9"/>
        <v>284204.4411764706</v>
      </c>
      <c r="F47" s="511">
        <f t="shared" si="10"/>
        <v>1197255.5363148646</v>
      </c>
      <c r="G47" s="512">
        <f t="shared" si="11"/>
        <v>426735.0748345771</v>
      </c>
      <c r="H47" s="478">
        <f t="shared" si="12"/>
        <v>426735.0748345771</v>
      </c>
      <c r="I47" s="501">
        <f t="shared" si="4"/>
        <v>0</v>
      </c>
      <c r="J47" s="501"/>
      <c r="K47" s="513"/>
      <c r="L47" s="505">
        <f t="shared" si="1"/>
        <v>0</v>
      </c>
      <c r="M47" s="513"/>
      <c r="N47" s="505">
        <f t="shared" si="2"/>
        <v>0</v>
      </c>
      <c r="O47" s="505">
        <f t="shared" si="3"/>
        <v>0</v>
      </c>
      <c r="P47" s="279"/>
    </row>
    <row r="48" spans="2:16" ht="12.5">
      <c r="B48" s="145" t="str">
        <f t="shared" si="0"/>
        <v/>
      </c>
      <c r="C48" s="496">
        <f>IF(D11="","-",+C47+1)</f>
        <v>2048</v>
      </c>
      <c r="D48" s="509">
        <f>IF(F47+SUM(E$17:E47)=D$10,F47,D$10-SUM(E$17:E47))</f>
        <v>1197255.5363148646</v>
      </c>
      <c r="E48" s="510">
        <f t="shared" si="9"/>
        <v>284204.4411764706</v>
      </c>
      <c r="F48" s="511">
        <f t="shared" si="10"/>
        <v>913051.09513839404</v>
      </c>
      <c r="G48" s="512">
        <f t="shared" si="11"/>
        <v>396490.84853988362</v>
      </c>
      <c r="H48" s="478">
        <f t="shared" si="12"/>
        <v>396490.84853988362</v>
      </c>
      <c r="I48" s="501">
        <f t="shared" si="4"/>
        <v>0</v>
      </c>
      <c r="J48" s="501"/>
      <c r="K48" s="513"/>
      <c r="L48" s="505">
        <f t="shared" si="1"/>
        <v>0</v>
      </c>
      <c r="M48" s="513"/>
      <c r="N48" s="505">
        <f t="shared" si="2"/>
        <v>0</v>
      </c>
      <c r="O48" s="505">
        <f t="shared" si="3"/>
        <v>0</v>
      </c>
      <c r="P48" s="279"/>
    </row>
    <row r="49" spans="2:16" ht="12.5">
      <c r="B49" s="145" t="str">
        <f t="shared" si="0"/>
        <v/>
      </c>
      <c r="C49" s="496">
        <f>IF(D11="","-",+C48+1)</f>
        <v>2049</v>
      </c>
      <c r="D49" s="509">
        <f>IF(F48+SUM(E$17:E48)=D$10,F48,D$10-SUM(E$17:E48))</f>
        <v>913051.09513839404</v>
      </c>
      <c r="E49" s="510">
        <f t="shared" si="9"/>
        <v>284204.4411764706</v>
      </c>
      <c r="F49" s="511">
        <f t="shared" si="10"/>
        <v>628846.65396192344</v>
      </c>
      <c r="G49" s="512">
        <f t="shared" ref="G49:G71" si="13">(D49+F49)/2*I$12+E49</f>
        <v>366246.62224519014</v>
      </c>
      <c r="H49" s="478">
        <f t="shared" ref="H49:H71" si="14">+(D49+F49)/2*I$13+E49</f>
        <v>366246.62224519014</v>
      </c>
      <c r="I49" s="501">
        <f t="shared" si="4"/>
        <v>0</v>
      </c>
      <c r="J49" s="501"/>
      <c r="K49" s="513"/>
      <c r="L49" s="505">
        <f t="shared" si="1"/>
        <v>0</v>
      </c>
      <c r="M49" s="513"/>
      <c r="N49" s="505">
        <f t="shared" si="2"/>
        <v>0</v>
      </c>
      <c r="O49" s="505">
        <f t="shared" si="3"/>
        <v>0</v>
      </c>
      <c r="P49" s="279"/>
    </row>
    <row r="50" spans="2:16" ht="12.5">
      <c r="B50" s="145" t="str">
        <f t="shared" si="0"/>
        <v/>
      </c>
      <c r="C50" s="496">
        <f>IF(D11="","-",+C49+1)</f>
        <v>2050</v>
      </c>
      <c r="D50" s="509">
        <f>IF(F49+SUM(E$17:E49)=D$10,F49,D$10-SUM(E$17:E49))</f>
        <v>628846.65396192344</v>
      </c>
      <c r="E50" s="510">
        <f t="shared" ref="E50:E71" si="15">IF(+I$14&lt;F49,I$14,D50)</f>
        <v>284204.4411764706</v>
      </c>
      <c r="F50" s="511">
        <f t="shared" si="10"/>
        <v>344642.21278545284</v>
      </c>
      <c r="G50" s="512">
        <f t="shared" si="13"/>
        <v>336002.39595049666</v>
      </c>
      <c r="H50" s="478">
        <f t="shared" si="14"/>
        <v>336002.39595049666</v>
      </c>
      <c r="I50" s="501">
        <f t="shared" si="4"/>
        <v>0</v>
      </c>
      <c r="J50" s="501"/>
      <c r="K50" s="513"/>
      <c r="L50" s="505">
        <f t="shared" si="1"/>
        <v>0</v>
      </c>
      <c r="M50" s="513"/>
      <c r="N50" s="505">
        <f t="shared" si="2"/>
        <v>0</v>
      </c>
      <c r="O50" s="505">
        <f t="shared" si="3"/>
        <v>0</v>
      </c>
      <c r="P50" s="279"/>
    </row>
    <row r="51" spans="2:16" ht="12.5">
      <c r="B51" s="145" t="str">
        <f t="shared" si="0"/>
        <v/>
      </c>
      <c r="C51" s="496">
        <f>IF(D11="","-",+C50+1)</f>
        <v>2051</v>
      </c>
      <c r="D51" s="509">
        <f>IF(F50+SUM(E$17:E50)=D$10,F50,D$10-SUM(E$17:E50))</f>
        <v>344642.21278545284</v>
      </c>
      <c r="E51" s="510">
        <f t="shared" si="15"/>
        <v>284204.4411764706</v>
      </c>
      <c r="F51" s="511">
        <f t="shared" si="10"/>
        <v>60437.771608982235</v>
      </c>
      <c r="G51" s="512">
        <f t="shared" si="13"/>
        <v>305758.16965580318</v>
      </c>
      <c r="H51" s="478">
        <f t="shared" si="14"/>
        <v>305758.16965580318</v>
      </c>
      <c r="I51" s="501">
        <f t="shared" si="4"/>
        <v>0</v>
      </c>
      <c r="J51" s="501"/>
      <c r="K51" s="513"/>
      <c r="L51" s="505">
        <f t="shared" si="1"/>
        <v>0</v>
      </c>
      <c r="M51" s="513"/>
      <c r="N51" s="505">
        <f t="shared" si="2"/>
        <v>0</v>
      </c>
      <c r="O51" s="505">
        <f t="shared" si="3"/>
        <v>0</v>
      </c>
      <c r="P51" s="279"/>
    </row>
    <row r="52" spans="2:16" ht="12.5">
      <c r="B52" s="145" t="str">
        <f t="shared" si="0"/>
        <v/>
      </c>
      <c r="C52" s="496">
        <f>IF(D11="","-",+C51+1)</f>
        <v>2052</v>
      </c>
      <c r="D52" s="509">
        <f>IF(F51+SUM(E$17:E51)=D$10,F51,D$10-SUM(E$17:E51))</f>
        <v>60437.771608982235</v>
      </c>
      <c r="E52" s="510">
        <f t="shared" si="15"/>
        <v>60437.771608982235</v>
      </c>
      <c r="F52" s="511">
        <f t="shared" si="10"/>
        <v>0</v>
      </c>
      <c r="G52" s="512">
        <f t="shared" si="13"/>
        <v>63653.579274975164</v>
      </c>
      <c r="H52" s="478">
        <f t="shared" si="14"/>
        <v>63653.579274975164</v>
      </c>
      <c r="I52" s="501">
        <f t="shared" si="4"/>
        <v>0</v>
      </c>
      <c r="J52" s="501"/>
      <c r="K52" s="513"/>
      <c r="L52" s="505">
        <f t="shared" si="1"/>
        <v>0</v>
      </c>
      <c r="M52" s="513"/>
      <c r="N52" s="505">
        <f t="shared" si="2"/>
        <v>0</v>
      </c>
      <c r="O52" s="505">
        <f t="shared" si="3"/>
        <v>0</v>
      </c>
      <c r="P52" s="279"/>
    </row>
    <row r="53" spans="2:16" ht="12.5">
      <c r="B53" s="145" t="str">
        <f t="shared" si="0"/>
        <v/>
      </c>
      <c r="C53" s="496">
        <f>IF(D11="","-",+C52+1)</f>
        <v>2053</v>
      </c>
      <c r="D53" s="509">
        <f>IF(F52+SUM(E$17:E52)=D$10,F52,D$10-SUM(E$17:E52))</f>
        <v>0</v>
      </c>
      <c r="E53" s="510">
        <f t="shared" si="15"/>
        <v>0</v>
      </c>
      <c r="F53" s="511">
        <f t="shared" si="10"/>
        <v>0</v>
      </c>
      <c r="G53" s="512">
        <f t="shared" si="13"/>
        <v>0</v>
      </c>
      <c r="H53" s="478">
        <f t="shared" si="14"/>
        <v>0</v>
      </c>
      <c r="I53" s="501">
        <f t="shared" si="4"/>
        <v>0</v>
      </c>
      <c r="J53" s="501"/>
      <c r="K53" s="513"/>
      <c r="L53" s="505">
        <f t="shared" si="1"/>
        <v>0</v>
      </c>
      <c r="M53" s="513"/>
      <c r="N53" s="505">
        <f t="shared" si="2"/>
        <v>0</v>
      </c>
      <c r="O53" s="505">
        <f t="shared" si="3"/>
        <v>0</v>
      </c>
      <c r="P53" s="279"/>
    </row>
    <row r="54" spans="2:16" ht="12.5">
      <c r="B54" s="145" t="str">
        <f t="shared" si="0"/>
        <v/>
      </c>
      <c r="C54" s="496">
        <f>IF(D11="","-",+C53+1)</f>
        <v>2054</v>
      </c>
      <c r="D54" s="509">
        <f>IF(F53+SUM(E$17:E53)=D$10,F53,D$10-SUM(E$17:E53))</f>
        <v>0</v>
      </c>
      <c r="E54" s="510">
        <f t="shared" si="15"/>
        <v>0</v>
      </c>
      <c r="F54" s="511">
        <f t="shared" si="10"/>
        <v>0</v>
      </c>
      <c r="G54" s="512">
        <f t="shared" si="13"/>
        <v>0</v>
      </c>
      <c r="H54" s="478">
        <f t="shared" si="14"/>
        <v>0</v>
      </c>
      <c r="I54" s="501">
        <f t="shared" si="4"/>
        <v>0</v>
      </c>
      <c r="J54" s="501"/>
      <c r="K54" s="513"/>
      <c r="L54" s="505">
        <f t="shared" si="1"/>
        <v>0</v>
      </c>
      <c r="M54" s="513"/>
      <c r="N54" s="505">
        <f t="shared" si="2"/>
        <v>0</v>
      </c>
      <c r="O54" s="505">
        <f t="shared" si="3"/>
        <v>0</v>
      </c>
      <c r="P54" s="279"/>
    </row>
    <row r="55" spans="2:16" ht="12.5">
      <c r="B55" s="145" t="str">
        <f t="shared" si="0"/>
        <v/>
      </c>
      <c r="C55" s="496">
        <f>IF(D11="","-",+C54+1)</f>
        <v>2055</v>
      </c>
      <c r="D55" s="509">
        <f>IF(F54+SUM(E$17:E54)=D$10,F54,D$10-SUM(E$17:E54))</f>
        <v>0</v>
      </c>
      <c r="E55" s="510">
        <f t="shared" si="15"/>
        <v>0</v>
      </c>
      <c r="F55" s="511">
        <f t="shared" si="10"/>
        <v>0</v>
      </c>
      <c r="G55" s="512">
        <f t="shared" si="13"/>
        <v>0</v>
      </c>
      <c r="H55" s="478">
        <f t="shared" si="14"/>
        <v>0</v>
      </c>
      <c r="I55" s="501">
        <f t="shared" si="4"/>
        <v>0</v>
      </c>
      <c r="J55" s="501"/>
      <c r="K55" s="513"/>
      <c r="L55" s="505">
        <f t="shared" si="1"/>
        <v>0</v>
      </c>
      <c r="M55" s="513"/>
      <c r="N55" s="505">
        <f t="shared" si="2"/>
        <v>0</v>
      </c>
      <c r="O55" s="505">
        <f t="shared" si="3"/>
        <v>0</v>
      </c>
      <c r="P55" s="279"/>
    </row>
    <row r="56" spans="2:16" ht="12.5">
      <c r="B56" s="145" t="str">
        <f t="shared" si="0"/>
        <v/>
      </c>
      <c r="C56" s="496">
        <f>IF(D11="","-",+C55+1)</f>
        <v>2056</v>
      </c>
      <c r="D56" s="509">
        <f>IF(F55+SUM(E$17:E55)=D$10,F55,D$10-SUM(E$17:E55))</f>
        <v>0</v>
      </c>
      <c r="E56" s="510">
        <f t="shared" si="15"/>
        <v>0</v>
      </c>
      <c r="F56" s="511">
        <f t="shared" si="10"/>
        <v>0</v>
      </c>
      <c r="G56" s="512">
        <f t="shared" si="13"/>
        <v>0</v>
      </c>
      <c r="H56" s="478">
        <f t="shared" si="14"/>
        <v>0</v>
      </c>
      <c r="I56" s="501">
        <f t="shared" si="4"/>
        <v>0</v>
      </c>
      <c r="J56" s="501"/>
      <c r="K56" s="513"/>
      <c r="L56" s="505">
        <f t="shared" si="1"/>
        <v>0</v>
      </c>
      <c r="M56" s="513"/>
      <c r="N56" s="505">
        <f t="shared" si="2"/>
        <v>0</v>
      </c>
      <c r="O56" s="505">
        <f t="shared" si="3"/>
        <v>0</v>
      </c>
      <c r="P56" s="279"/>
    </row>
    <row r="57" spans="2:16" ht="12.5">
      <c r="B57" s="145" t="str">
        <f t="shared" si="0"/>
        <v/>
      </c>
      <c r="C57" s="496">
        <f>IF(D11="","-",+C56+1)</f>
        <v>2057</v>
      </c>
      <c r="D57" s="509">
        <f>IF(F56+SUM(E$17:E56)=D$10,F56,D$10-SUM(E$17:E56))</f>
        <v>0</v>
      </c>
      <c r="E57" s="510">
        <f t="shared" si="15"/>
        <v>0</v>
      </c>
      <c r="F57" s="511">
        <f t="shared" si="10"/>
        <v>0</v>
      </c>
      <c r="G57" s="512">
        <f t="shared" si="13"/>
        <v>0</v>
      </c>
      <c r="H57" s="478">
        <f t="shared" si="14"/>
        <v>0</v>
      </c>
      <c r="I57" s="501">
        <f t="shared" si="4"/>
        <v>0</v>
      </c>
      <c r="J57" s="501"/>
      <c r="K57" s="513"/>
      <c r="L57" s="505">
        <f t="shared" si="1"/>
        <v>0</v>
      </c>
      <c r="M57" s="513"/>
      <c r="N57" s="505">
        <f t="shared" si="2"/>
        <v>0</v>
      </c>
      <c r="O57" s="505">
        <f t="shared" si="3"/>
        <v>0</v>
      </c>
      <c r="P57" s="279"/>
    </row>
    <row r="58" spans="2:16" ht="12.5">
      <c r="B58" s="145" t="str">
        <f t="shared" si="0"/>
        <v/>
      </c>
      <c r="C58" s="496">
        <f>IF(D11="","-",+C57+1)</f>
        <v>2058</v>
      </c>
      <c r="D58" s="509">
        <f>IF(F57+SUM(E$17:E57)=D$10,F57,D$10-SUM(E$17:E57))</f>
        <v>0</v>
      </c>
      <c r="E58" s="510">
        <f t="shared" si="15"/>
        <v>0</v>
      </c>
      <c r="F58" s="511">
        <f t="shared" si="10"/>
        <v>0</v>
      </c>
      <c r="G58" s="512">
        <f t="shared" si="13"/>
        <v>0</v>
      </c>
      <c r="H58" s="478">
        <f t="shared" si="14"/>
        <v>0</v>
      </c>
      <c r="I58" s="501">
        <f t="shared" si="4"/>
        <v>0</v>
      </c>
      <c r="J58" s="501"/>
      <c r="K58" s="513"/>
      <c r="L58" s="505">
        <f t="shared" si="1"/>
        <v>0</v>
      </c>
      <c r="M58" s="513"/>
      <c r="N58" s="505">
        <f t="shared" si="2"/>
        <v>0</v>
      </c>
      <c r="O58" s="505">
        <f t="shared" si="3"/>
        <v>0</v>
      </c>
      <c r="P58" s="279"/>
    </row>
    <row r="59" spans="2:16" ht="12.5">
      <c r="B59" s="145" t="str">
        <f t="shared" si="0"/>
        <v/>
      </c>
      <c r="C59" s="496">
        <f>IF(D11="","-",+C58+1)</f>
        <v>2059</v>
      </c>
      <c r="D59" s="509">
        <f>IF(F58+SUM(E$17:E58)=D$10,F58,D$10-SUM(E$17:E58))</f>
        <v>0</v>
      </c>
      <c r="E59" s="510">
        <f t="shared" si="15"/>
        <v>0</v>
      </c>
      <c r="F59" s="511">
        <f t="shared" si="10"/>
        <v>0</v>
      </c>
      <c r="G59" s="512">
        <f t="shared" si="13"/>
        <v>0</v>
      </c>
      <c r="H59" s="478">
        <f t="shared" si="14"/>
        <v>0</v>
      </c>
      <c r="I59" s="501">
        <f t="shared" si="4"/>
        <v>0</v>
      </c>
      <c r="J59" s="501"/>
      <c r="K59" s="513"/>
      <c r="L59" s="505">
        <f t="shared" si="1"/>
        <v>0</v>
      </c>
      <c r="M59" s="513"/>
      <c r="N59" s="505">
        <f t="shared" si="2"/>
        <v>0</v>
      </c>
      <c r="O59" s="505">
        <f t="shared" si="3"/>
        <v>0</v>
      </c>
      <c r="P59" s="279"/>
    </row>
    <row r="60" spans="2:16" ht="12.5">
      <c r="B60" s="145" t="str">
        <f t="shared" si="0"/>
        <v/>
      </c>
      <c r="C60" s="496">
        <f>IF(D11="","-",+C59+1)</f>
        <v>2060</v>
      </c>
      <c r="D60" s="509">
        <f>IF(F59+SUM(E$17:E59)=D$10,F59,D$10-SUM(E$17:E59))</f>
        <v>0</v>
      </c>
      <c r="E60" s="510">
        <f t="shared" si="15"/>
        <v>0</v>
      </c>
      <c r="F60" s="511">
        <f t="shared" si="10"/>
        <v>0</v>
      </c>
      <c r="G60" s="512">
        <f t="shared" si="13"/>
        <v>0</v>
      </c>
      <c r="H60" s="478">
        <f t="shared" si="14"/>
        <v>0</v>
      </c>
      <c r="I60" s="501">
        <f t="shared" si="4"/>
        <v>0</v>
      </c>
      <c r="J60" s="501"/>
      <c r="K60" s="513"/>
      <c r="L60" s="505">
        <f t="shared" si="1"/>
        <v>0</v>
      </c>
      <c r="M60" s="513"/>
      <c r="N60" s="505">
        <f t="shared" si="2"/>
        <v>0</v>
      </c>
      <c r="O60" s="505">
        <f t="shared" si="3"/>
        <v>0</v>
      </c>
      <c r="P60" s="279"/>
    </row>
    <row r="61" spans="2:16" ht="12.5">
      <c r="B61" s="145" t="str">
        <f t="shared" si="0"/>
        <v/>
      </c>
      <c r="C61" s="496">
        <f>IF(D11="","-",+C60+1)</f>
        <v>2061</v>
      </c>
      <c r="D61" s="509">
        <f>IF(F60+SUM(E$17:E60)=D$10,F60,D$10-SUM(E$17:E60))</f>
        <v>0</v>
      </c>
      <c r="E61" s="510">
        <f t="shared" si="15"/>
        <v>0</v>
      </c>
      <c r="F61" s="511">
        <f t="shared" si="10"/>
        <v>0</v>
      </c>
      <c r="G61" s="524">
        <f t="shared" si="13"/>
        <v>0</v>
      </c>
      <c r="H61" s="478">
        <f t="shared" si="14"/>
        <v>0</v>
      </c>
      <c r="I61" s="501">
        <f t="shared" si="4"/>
        <v>0</v>
      </c>
      <c r="J61" s="501"/>
      <c r="K61" s="513"/>
      <c r="L61" s="505">
        <f t="shared" si="1"/>
        <v>0</v>
      </c>
      <c r="M61" s="513"/>
      <c r="N61" s="505">
        <f t="shared" si="2"/>
        <v>0</v>
      </c>
      <c r="O61" s="505">
        <f t="shared" si="3"/>
        <v>0</v>
      </c>
      <c r="P61" s="279"/>
    </row>
    <row r="62" spans="2:16" ht="12.5">
      <c r="B62" s="145" t="str">
        <f t="shared" si="0"/>
        <v/>
      </c>
      <c r="C62" s="496">
        <f>IF(D11="","-",+C61+1)</f>
        <v>2062</v>
      </c>
      <c r="D62" s="509">
        <f>IF(F61+SUM(E$17:E61)=D$10,F61,D$10-SUM(E$17:E61))</f>
        <v>0</v>
      </c>
      <c r="E62" s="510">
        <f t="shared" si="15"/>
        <v>0</v>
      </c>
      <c r="F62" s="511">
        <f t="shared" si="10"/>
        <v>0</v>
      </c>
      <c r="G62" s="524">
        <f t="shared" si="13"/>
        <v>0</v>
      </c>
      <c r="H62" s="478">
        <f t="shared" si="14"/>
        <v>0</v>
      </c>
      <c r="I62" s="501">
        <f t="shared" si="4"/>
        <v>0</v>
      </c>
      <c r="J62" s="501"/>
      <c r="K62" s="513"/>
      <c r="L62" s="505">
        <f t="shared" si="1"/>
        <v>0</v>
      </c>
      <c r="M62" s="513"/>
      <c r="N62" s="505">
        <f t="shared" si="2"/>
        <v>0</v>
      </c>
      <c r="O62" s="505">
        <f t="shared" si="3"/>
        <v>0</v>
      </c>
      <c r="P62" s="279"/>
    </row>
    <row r="63" spans="2:16" ht="12.5">
      <c r="B63" s="145" t="str">
        <f t="shared" si="0"/>
        <v/>
      </c>
      <c r="C63" s="496">
        <f>IF(D11="","-",+C62+1)</f>
        <v>2063</v>
      </c>
      <c r="D63" s="509">
        <f>IF(F62+SUM(E$17:E62)=D$10,F62,D$10-SUM(E$17:E62))</f>
        <v>0</v>
      </c>
      <c r="E63" s="510">
        <f t="shared" si="15"/>
        <v>0</v>
      </c>
      <c r="F63" s="511">
        <f t="shared" si="10"/>
        <v>0</v>
      </c>
      <c r="G63" s="524">
        <f t="shared" si="13"/>
        <v>0</v>
      </c>
      <c r="H63" s="478">
        <f t="shared" si="14"/>
        <v>0</v>
      </c>
      <c r="I63" s="501">
        <f t="shared" si="4"/>
        <v>0</v>
      </c>
      <c r="J63" s="501"/>
      <c r="K63" s="513"/>
      <c r="L63" s="505">
        <f t="shared" si="1"/>
        <v>0</v>
      </c>
      <c r="M63" s="513"/>
      <c r="N63" s="505">
        <f t="shared" si="2"/>
        <v>0</v>
      </c>
      <c r="O63" s="505">
        <f t="shared" si="3"/>
        <v>0</v>
      </c>
      <c r="P63" s="279"/>
    </row>
    <row r="64" spans="2:16" ht="12.5">
      <c r="B64" s="145" t="str">
        <f t="shared" si="0"/>
        <v/>
      </c>
      <c r="C64" s="496">
        <f>IF(D11="","-",+C63+1)</f>
        <v>2064</v>
      </c>
      <c r="D64" s="509">
        <f>IF(F63+SUM(E$17:E63)=D$10,F63,D$10-SUM(E$17:E63))</f>
        <v>0</v>
      </c>
      <c r="E64" s="510">
        <f t="shared" si="15"/>
        <v>0</v>
      </c>
      <c r="F64" s="511">
        <f t="shared" si="10"/>
        <v>0</v>
      </c>
      <c r="G64" s="524">
        <f t="shared" si="13"/>
        <v>0</v>
      </c>
      <c r="H64" s="478">
        <f t="shared" si="14"/>
        <v>0</v>
      </c>
      <c r="I64" s="501">
        <f t="shared" si="4"/>
        <v>0</v>
      </c>
      <c r="J64" s="501"/>
      <c r="K64" s="513"/>
      <c r="L64" s="505">
        <f t="shared" si="1"/>
        <v>0</v>
      </c>
      <c r="M64" s="513"/>
      <c r="N64" s="505">
        <f t="shared" si="2"/>
        <v>0</v>
      </c>
      <c r="O64" s="505">
        <f t="shared" si="3"/>
        <v>0</v>
      </c>
      <c r="P64" s="279"/>
    </row>
    <row r="65" spans="2:16" ht="12.5">
      <c r="B65" s="145" t="str">
        <f t="shared" si="0"/>
        <v/>
      </c>
      <c r="C65" s="496">
        <f>IF(D11="","-",+C64+1)</f>
        <v>2065</v>
      </c>
      <c r="D65" s="509">
        <f>IF(F64+SUM(E$17:E64)=D$10,F64,D$10-SUM(E$17:E64))</f>
        <v>0</v>
      </c>
      <c r="E65" s="510">
        <f t="shared" si="15"/>
        <v>0</v>
      </c>
      <c r="F65" s="511">
        <f t="shared" si="10"/>
        <v>0</v>
      </c>
      <c r="G65" s="524">
        <f t="shared" si="13"/>
        <v>0</v>
      </c>
      <c r="H65" s="478">
        <f t="shared" si="14"/>
        <v>0</v>
      </c>
      <c r="I65" s="501">
        <f t="shared" si="4"/>
        <v>0</v>
      </c>
      <c r="J65" s="501"/>
      <c r="K65" s="513"/>
      <c r="L65" s="505">
        <f t="shared" si="1"/>
        <v>0</v>
      </c>
      <c r="M65" s="513"/>
      <c r="N65" s="505">
        <f t="shared" si="2"/>
        <v>0</v>
      </c>
      <c r="O65" s="505">
        <f t="shared" si="3"/>
        <v>0</v>
      </c>
      <c r="P65" s="279"/>
    </row>
    <row r="66" spans="2:16" ht="12.5">
      <c r="B66" s="145" t="str">
        <f t="shared" si="0"/>
        <v/>
      </c>
      <c r="C66" s="496">
        <f>IF(D11="","-",+C65+1)</f>
        <v>2066</v>
      </c>
      <c r="D66" s="509">
        <f>IF(F65+SUM(E$17:E65)=D$10,F65,D$10-SUM(E$17:E65))</f>
        <v>0</v>
      </c>
      <c r="E66" s="510">
        <f t="shared" si="15"/>
        <v>0</v>
      </c>
      <c r="F66" s="511">
        <f t="shared" si="10"/>
        <v>0</v>
      </c>
      <c r="G66" s="524">
        <f t="shared" si="13"/>
        <v>0</v>
      </c>
      <c r="H66" s="478">
        <f t="shared" si="14"/>
        <v>0</v>
      </c>
      <c r="I66" s="501">
        <f t="shared" si="4"/>
        <v>0</v>
      </c>
      <c r="J66" s="501"/>
      <c r="K66" s="513"/>
      <c r="L66" s="505">
        <f t="shared" si="1"/>
        <v>0</v>
      </c>
      <c r="M66" s="513"/>
      <c r="N66" s="505">
        <f t="shared" si="2"/>
        <v>0</v>
      </c>
      <c r="O66" s="505">
        <f t="shared" si="3"/>
        <v>0</v>
      </c>
      <c r="P66" s="279"/>
    </row>
    <row r="67" spans="2:16" ht="12.5">
      <c r="B67" s="145" t="str">
        <f t="shared" si="0"/>
        <v/>
      </c>
      <c r="C67" s="496">
        <f>IF(D11="","-",+C66+1)</f>
        <v>2067</v>
      </c>
      <c r="D67" s="509">
        <f>IF(F66+SUM(E$17:E66)=D$10,F66,D$10-SUM(E$17:E66))</f>
        <v>0</v>
      </c>
      <c r="E67" s="510">
        <f t="shared" si="15"/>
        <v>0</v>
      </c>
      <c r="F67" s="511">
        <f t="shared" si="10"/>
        <v>0</v>
      </c>
      <c r="G67" s="524">
        <f t="shared" si="13"/>
        <v>0</v>
      </c>
      <c r="H67" s="478">
        <f t="shared" si="14"/>
        <v>0</v>
      </c>
      <c r="I67" s="501">
        <f t="shared" si="4"/>
        <v>0</v>
      </c>
      <c r="J67" s="501"/>
      <c r="K67" s="513"/>
      <c r="L67" s="505">
        <f t="shared" si="1"/>
        <v>0</v>
      </c>
      <c r="M67" s="513"/>
      <c r="N67" s="505">
        <f t="shared" si="2"/>
        <v>0</v>
      </c>
      <c r="O67" s="505">
        <f t="shared" si="3"/>
        <v>0</v>
      </c>
      <c r="P67" s="279"/>
    </row>
    <row r="68" spans="2:16" ht="12.5">
      <c r="B68" s="145" t="str">
        <f t="shared" si="0"/>
        <v/>
      </c>
      <c r="C68" s="496">
        <f>IF(D11="","-",+C67+1)</f>
        <v>2068</v>
      </c>
      <c r="D68" s="509">
        <f>IF(F67+SUM(E$17:E67)=D$10,F67,D$10-SUM(E$17:E67))</f>
        <v>0</v>
      </c>
      <c r="E68" s="510">
        <f t="shared" si="15"/>
        <v>0</v>
      </c>
      <c r="F68" s="511">
        <f t="shared" si="10"/>
        <v>0</v>
      </c>
      <c r="G68" s="524">
        <f t="shared" si="13"/>
        <v>0</v>
      </c>
      <c r="H68" s="478">
        <f t="shared" si="14"/>
        <v>0</v>
      </c>
      <c r="I68" s="501">
        <f t="shared" si="4"/>
        <v>0</v>
      </c>
      <c r="J68" s="501"/>
      <c r="K68" s="513"/>
      <c r="L68" s="505">
        <f t="shared" si="1"/>
        <v>0</v>
      </c>
      <c r="M68" s="513"/>
      <c r="N68" s="505">
        <f t="shared" si="2"/>
        <v>0</v>
      </c>
      <c r="O68" s="505">
        <f t="shared" si="3"/>
        <v>0</v>
      </c>
      <c r="P68" s="279"/>
    </row>
    <row r="69" spans="2:16" ht="12.5">
      <c r="B69" s="145" t="str">
        <f t="shared" si="0"/>
        <v/>
      </c>
      <c r="C69" s="496">
        <f>IF(D11="","-",+C68+1)</f>
        <v>2069</v>
      </c>
      <c r="D69" s="509">
        <f>IF(F68+SUM(E$17:E68)=D$10,F68,D$10-SUM(E$17:E68))</f>
        <v>0</v>
      </c>
      <c r="E69" s="510">
        <f t="shared" si="15"/>
        <v>0</v>
      </c>
      <c r="F69" s="511">
        <f t="shared" si="10"/>
        <v>0</v>
      </c>
      <c r="G69" s="524">
        <f t="shared" si="13"/>
        <v>0</v>
      </c>
      <c r="H69" s="478">
        <f t="shared" si="14"/>
        <v>0</v>
      </c>
      <c r="I69" s="501">
        <f t="shared" si="4"/>
        <v>0</v>
      </c>
      <c r="J69" s="501"/>
      <c r="K69" s="513"/>
      <c r="L69" s="505">
        <f t="shared" si="1"/>
        <v>0</v>
      </c>
      <c r="M69" s="513"/>
      <c r="N69" s="505">
        <f t="shared" si="2"/>
        <v>0</v>
      </c>
      <c r="O69" s="505">
        <f t="shared" si="3"/>
        <v>0</v>
      </c>
      <c r="P69" s="279"/>
    </row>
    <row r="70" spans="2:16" ht="12.5">
      <c r="B70" s="145" t="str">
        <f t="shared" si="0"/>
        <v/>
      </c>
      <c r="C70" s="496">
        <f>IF(D11="","-",+C69+1)</f>
        <v>2070</v>
      </c>
      <c r="D70" s="509">
        <f>IF(F69+SUM(E$17:E69)=D$10,F69,D$10-SUM(E$17:E69))</f>
        <v>0</v>
      </c>
      <c r="E70" s="510">
        <f t="shared" si="15"/>
        <v>0</v>
      </c>
      <c r="F70" s="511">
        <f t="shared" si="10"/>
        <v>0</v>
      </c>
      <c r="G70" s="524">
        <f t="shared" si="13"/>
        <v>0</v>
      </c>
      <c r="H70" s="478">
        <f t="shared" si="14"/>
        <v>0</v>
      </c>
      <c r="I70" s="501">
        <f t="shared" si="4"/>
        <v>0</v>
      </c>
      <c r="J70" s="501"/>
      <c r="K70" s="513"/>
      <c r="L70" s="505">
        <f t="shared" si="1"/>
        <v>0</v>
      </c>
      <c r="M70" s="513"/>
      <c r="N70" s="505">
        <f t="shared" si="2"/>
        <v>0</v>
      </c>
      <c r="O70" s="505">
        <f t="shared" si="3"/>
        <v>0</v>
      </c>
      <c r="P70" s="279"/>
    </row>
    <row r="71" spans="2:16" ht="12.5">
      <c r="B71" s="145" t="str">
        <f t="shared" si="0"/>
        <v/>
      </c>
      <c r="C71" s="496">
        <f>IF(D11="","-",+C70+1)</f>
        <v>2071</v>
      </c>
      <c r="D71" s="509">
        <f>IF(F70+SUM(E$17:E70)=D$10,F70,D$10-SUM(E$17:E70))</f>
        <v>0</v>
      </c>
      <c r="E71" s="510">
        <f t="shared" si="15"/>
        <v>0</v>
      </c>
      <c r="F71" s="511">
        <f t="shared" si="10"/>
        <v>0</v>
      </c>
      <c r="G71" s="524">
        <f t="shared" si="13"/>
        <v>0</v>
      </c>
      <c r="H71" s="478">
        <f t="shared" si="14"/>
        <v>0</v>
      </c>
      <c r="I71" s="501">
        <f t="shared" si="4"/>
        <v>0</v>
      </c>
      <c r="J71" s="501"/>
      <c r="K71" s="513"/>
      <c r="L71" s="505">
        <f t="shared" si="1"/>
        <v>0</v>
      </c>
      <c r="M71" s="513"/>
      <c r="N71" s="505">
        <f t="shared" si="2"/>
        <v>0</v>
      </c>
      <c r="O71" s="505">
        <f t="shared" si="3"/>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9662951</v>
      </c>
      <c r="F74" s="295"/>
      <c r="G74" s="295">
        <f>SUM(G17:G73)</f>
        <v>27850831.12505284</v>
      </c>
      <c r="H74" s="295">
        <f>SUM(H17:H73)</f>
        <v>27850831.12505284</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16 of 20</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2020</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1227854.794149773</v>
      </c>
      <c r="N88" s="545">
        <f>IF(J93&lt;D11,0,VLOOKUP(J93,C17:O73,11))</f>
        <v>1227854.794149773</v>
      </c>
      <c r="O88" s="546">
        <f>+N88-M88</f>
        <v>0</v>
      </c>
      <c r="P88" s="244"/>
    </row>
    <row r="89" spans="1:16" ht="15.5">
      <c r="C89" s="236"/>
      <c r="D89" s="293"/>
      <c r="E89" s="244"/>
      <c r="F89" s="244"/>
      <c r="G89" s="244"/>
      <c r="H89" s="244"/>
      <c r="I89" s="450"/>
      <c r="J89" s="450"/>
      <c r="K89" s="547"/>
      <c r="L89" s="548" t="s">
        <v>254</v>
      </c>
      <c r="M89" s="549">
        <f>IF(J93&lt;D11,0,VLOOKUP(J93,C100:P155,6))</f>
        <v>1287789.8668546416</v>
      </c>
      <c r="N89" s="549">
        <f>IF(J93&lt;D11,0,VLOOKUP(J93,C100:P155,7))</f>
        <v>1287789.8668546416</v>
      </c>
      <c r="O89" s="550">
        <f>+N89-M89</f>
        <v>0</v>
      </c>
      <c r="P89" s="244"/>
    </row>
    <row r="90" spans="1:16" ht="13.5" thickBot="1">
      <c r="C90" s="455" t="s">
        <v>82</v>
      </c>
      <c r="D90" s="551" t="str">
        <f>+D7</f>
        <v>Carnegie South-Southwestern 123 kv line rebuild</v>
      </c>
      <c r="E90" s="244"/>
      <c r="F90" s="244"/>
      <c r="G90" s="244"/>
      <c r="H90" s="244"/>
      <c r="I90" s="326"/>
      <c r="J90" s="326"/>
      <c r="K90" s="552"/>
      <c r="L90" s="553" t="s">
        <v>135</v>
      </c>
      <c r="M90" s="554">
        <f>+M89-M88</f>
        <v>59935.072704868624</v>
      </c>
      <c r="N90" s="554">
        <f>+N89-N88</f>
        <v>59935.072704868624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2014207</v>
      </c>
      <c r="E92" s="559"/>
      <c r="F92" s="559"/>
      <c r="G92" s="559"/>
      <c r="H92" s="559"/>
      <c r="I92" s="559"/>
      <c r="J92" s="559"/>
      <c r="K92" s="561"/>
      <c r="P92" s="469"/>
    </row>
    <row r="93" spans="1:16" ht="13">
      <c r="C93" s="473" t="s">
        <v>49</v>
      </c>
      <c r="D93" s="471">
        <v>9662740</v>
      </c>
      <c r="E93" s="249" t="s">
        <v>84</v>
      </c>
      <c r="H93" s="409"/>
      <c r="I93" s="409"/>
      <c r="J93" s="472">
        <f>+'OKT.WS.G.BPU.ATRR.True-up'!M16</f>
        <v>2020</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7</v>
      </c>
      <c r="E95" s="473" t="s">
        <v>55</v>
      </c>
      <c r="F95" s="409"/>
      <c r="G95" s="409"/>
      <c r="J95" s="477">
        <f>'OKT.WS.G.BPU.ATRR.True-up'!$F$81</f>
        <v>0.10641349897030054</v>
      </c>
      <c r="K95" s="414"/>
      <c r="L95" s="145" t="s">
        <v>86</v>
      </c>
      <c r="P95" s="279"/>
    </row>
    <row r="96" spans="1:16" ht="12.5">
      <c r="C96" s="473" t="s">
        <v>57</v>
      </c>
      <c r="D96" s="475">
        <f>'OKT.WS.G.BPU.ATRR.True-up'!F$93</f>
        <v>28</v>
      </c>
      <c r="E96" s="473" t="s">
        <v>58</v>
      </c>
      <c r="F96" s="409"/>
      <c r="G96" s="409"/>
      <c r="J96" s="477">
        <f>IF(H88="",J95,'OKT.WS.G.BPU.ATRR.True-up'!$F$80)</f>
        <v>0.10641349897030054</v>
      </c>
      <c r="K96" s="292"/>
      <c r="L96" s="295" t="s">
        <v>59</v>
      </c>
      <c r="M96" s="292"/>
      <c r="N96" s="292"/>
      <c r="O96" s="292"/>
      <c r="P96" s="279"/>
    </row>
    <row r="97" spans="1:16" ht="13" thickBot="1">
      <c r="C97" s="473" t="s">
        <v>60</v>
      </c>
      <c r="D97" s="474" t="str">
        <f>+D14</f>
        <v>No</v>
      </c>
      <c r="E97" s="564" t="s">
        <v>62</v>
      </c>
      <c r="F97" s="565"/>
      <c r="G97" s="565"/>
      <c r="H97" s="566"/>
      <c r="I97" s="566"/>
      <c r="J97" s="459">
        <f>IF(D93=0,0,D93/D96)</f>
        <v>345097.85714285716</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6">IF(D100=F99,"","IU")</f>
        <v>IU</v>
      </c>
      <c r="C100" s="496">
        <f>IF(D94= "","-",D94)</f>
        <v>2017</v>
      </c>
      <c r="D100" s="497">
        <v>0</v>
      </c>
      <c r="E100" s="499">
        <v>99561.5625</v>
      </c>
      <c r="F100" s="506">
        <v>9458348.4375</v>
      </c>
      <c r="G100" s="506">
        <v>4729174.21875</v>
      </c>
      <c r="H100" s="499">
        <v>654463.30646394705</v>
      </c>
      <c r="I100" s="500">
        <v>654463.30646394705</v>
      </c>
      <c r="J100" s="505">
        <f t="shared" ref="J100:J131" si="17">+I100-H100</f>
        <v>0</v>
      </c>
      <c r="K100" s="505"/>
      <c r="L100" s="507">
        <f>+H100</f>
        <v>654463.30646394705</v>
      </c>
      <c r="M100" s="505">
        <f t="shared" ref="M100:M131" si="18">IF(L100&lt;&gt;0,+H100-L100,0)</f>
        <v>0</v>
      </c>
      <c r="N100" s="507">
        <f>+I100</f>
        <v>654463.30646394705</v>
      </c>
      <c r="O100" s="587">
        <f t="shared" ref="O100:O131" si="19">IF(N100&lt;&gt;0,+I100-N100,0)</f>
        <v>0</v>
      </c>
      <c r="P100" s="505">
        <f t="shared" ref="P100:P131" si="20">+O100-M100</f>
        <v>0</v>
      </c>
    </row>
    <row r="101" spans="1:16" ht="12.5">
      <c r="B101" s="145" t="str">
        <f t="shared" si="16"/>
        <v/>
      </c>
      <c r="C101" s="496">
        <f>IF(D94="","-",+C100+1)</f>
        <v>2018</v>
      </c>
      <c r="D101" s="497">
        <v>9458348.4375</v>
      </c>
      <c r="E101" s="499">
        <v>265497.5</v>
      </c>
      <c r="F101" s="506">
        <v>9192850.9375</v>
      </c>
      <c r="G101" s="506">
        <v>9325599.6875</v>
      </c>
      <c r="H101" s="499">
        <v>1249930.642330141</v>
      </c>
      <c r="I101" s="500">
        <v>1249930.642330141</v>
      </c>
      <c r="J101" s="505">
        <f t="shared" si="17"/>
        <v>0</v>
      </c>
      <c r="K101" s="505"/>
      <c r="L101" s="507">
        <f>H101</f>
        <v>1249930.642330141</v>
      </c>
      <c r="M101" s="505">
        <f>IF(L101&lt;&gt;0,+H101-L101,0)</f>
        <v>0</v>
      </c>
      <c r="N101" s="507">
        <f>I101</f>
        <v>1249930.642330141</v>
      </c>
      <c r="O101" s="505">
        <f>IF(N101&lt;&gt;0,+I101-N101,0)</f>
        <v>0</v>
      </c>
      <c r="P101" s="505">
        <f>+O101-M101</f>
        <v>0</v>
      </c>
    </row>
    <row r="102" spans="1:16" ht="12.5">
      <c r="B102" s="145" t="str">
        <f t="shared" si="16"/>
        <v>IU</v>
      </c>
      <c r="C102" s="496">
        <f>IF(D94="","-",+C101+1)</f>
        <v>2019</v>
      </c>
      <c r="D102" s="497">
        <v>9224210.9375</v>
      </c>
      <c r="E102" s="499">
        <v>266368.61111111112</v>
      </c>
      <c r="F102" s="506">
        <v>8957842.3263888881</v>
      </c>
      <c r="G102" s="506">
        <v>9091026.631944444</v>
      </c>
      <c r="H102" s="499">
        <v>1226039.6472041525</v>
      </c>
      <c r="I102" s="500">
        <v>1226039.6472041525</v>
      </c>
      <c r="J102" s="505">
        <f t="shared" si="17"/>
        <v>0</v>
      </c>
      <c r="K102" s="505"/>
      <c r="L102" s="507">
        <f>H102</f>
        <v>1226039.6472041525</v>
      </c>
      <c r="M102" s="505">
        <f>IF(L102&lt;&gt;0,+H102-L102,0)</f>
        <v>0</v>
      </c>
      <c r="N102" s="507">
        <f>I102</f>
        <v>1226039.6472041525</v>
      </c>
      <c r="O102" s="505">
        <f t="shared" si="19"/>
        <v>0</v>
      </c>
      <c r="P102" s="505">
        <f t="shared" si="20"/>
        <v>0</v>
      </c>
    </row>
    <row r="103" spans="1:16" ht="12.5">
      <c r="B103" s="145" t="str">
        <f t="shared" si="16"/>
        <v>IU</v>
      </c>
      <c r="C103" s="496">
        <f>IF(D94="","-",+C102+1)</f>
        <v>2020</v>
      </c>
      <c r="D103" s="350">
        <f>IF(F102+SUM(E$100:E102)=D$93,F102,D$93-SUM(E$100:E102))</f>
        <v>9031312.3263888881</v>
      </c>
      <c r="E103" s="510">
        <f t="shared" ref="E103:E132" si="21">IF(+J$97&lt;F102,J$97,D103)</f>
        <v>345097.85714285716</v>
      </c>
      <c r="F103" s="511">
        <f t="shared" ref="F103:F131" si="22">+D103-E103</f>
        <v>8686214.4692460317</v>
      </c>
      <c r="G103" s="511">
        <f t="shared" ref="G103:G131" si="23">+(F103+D103)/2</f>
        <v>8858763.397817459</v>
      </c>
      <c r="H103" s="646">
        <f>(D103+F103)/2*J$95+E103</f>
        <v>1287789.8668546416</v>
      </c>
      <c r="I103" s="628">
        <f t="shared" ref="I103:I155" si="24">+J$96*G103+E103</f>
        <v>1287789.8668546416</v>
      </c>
      <c r="J103" s="505">
        <f t="shared" si="17"/>
        <v>0</v>
      </c>
      <c r="K103" s="505"/>
      <c r="L103" s="513"/>
      <c r="M103" s="505">
        <f t="shared" si="18"/>
        <v>0</v>
      </c>
      <c r="N103" s="513"/>
      <c r="O103" s="505">
        <f t="shared" si="19"/>
        <v>0</v>
      </c>
      <c r="P103" s="505">
        <f t="shared" si="20"/>
        <v>0</v>
      </c>
    </row>
    <row r="104" spans="1:16" ht="12.5">
      <c r="B104" s="145" t="str">
        <f t="shared" si="16"/>
        <v/>
      </c>
      <c r="C104" s="496">
        <f>IF(D94="","-",+C103+1)</f>
        <v>2021</v>
      </c>
      <c r="D104" s="350">
        <f>IF(F103+SUM(E$100:E103)=D$93,F103,D$93-SUM(E$100:E103))</f>
        <v>8686214.4692460317</v>
      </c>
      <c r="E104" s="510">
        <f t="shared" si="21"/>
        <v>345097.85714285716</v>
      </c>
      <c r="F104" s="511">
        <f t="shared" si="22"/>
        <v>8341116.6121031744</v>
      </c>
      <c r="G104" s="511">
        <f t="shared" si="23"/>
        <v>8513665.5406746026</v>
      </c>
      <c r="H104" s="646">
        <f t="shared" ref="H104:H155" si="25">(D104+F104)/2*J$95+E104</f>
        <v>1251066.7963889171</v>
      </c>
      <c r="I104" s="628">
        <f t="shared" si="24"/>
        <v>1251066.7963889171</v>
      </c>
      <c r="J104" s="505">
        <f t="shared" si="17"/>
        <v>0</v>
      </c>
      <c r="K104" s="505"/>
      <c r="L104" s="513"/>
      <c r="M104" s="505">
        <f t="shared" si="18"/>
        <v>0</v>
      </c>
      <c r="N104" s="513"/>
      <c r="O104" s="505">
        <f t="shared" si="19"/>
        <v>0</v>
      </c>
      <c r="P104" s="505">
        <f t="shared" si="20"/>
        <v>0</v>
      </c>
    </row>
    <row r="105" spans="1:16" ht="12.5">
      <c r="B105" s="145" t="str">
        <f t="shared" si="16"/>
        <v/>
      </c>
      <c r="C105" s="496">
        <f>IF(D94="","-",+C104+1)</f>
        <v>2022</v>
      </c>
      <c r="D105" s="350">
        <f>IF(F104+SUM(E$100:E104)=D$93,F104,D$93-SUM(E$100:E104))</f>
        <v>8341116.6121031744</v>
      </c>
      <c r="E105" s="510">
        <f t="shared" si="21"/>
        <v>345097.85714285716</v>
      </c>
      <c r="F105" s="511">
        <f t="shared" si="22"/>
        <v>7996018.7549603172</v>
      </c>
      <c r="G105" s="511">
        <f t="shared" si="23"/>
        <v>8168567.6835317463</v>
      </c>
      <c r="H105" s="646">
        <f t="shared" si="25"/>
        <v>1214343.7259231929</v>
      </c>
      <c r="I105" s="628">
        <f t="shared" si="24"/>
        <v>1214343.7259231929</v>
      </c>
      <c r="J105" s="505">
        <f t="shared" si="17"/>
        <v>0</v>
      </c>
      <c r="K105" s="505"/>
      <c r="L105" s="513"/>
      <c r="M105" s="505">
        <f t="shared" si="18"/>
        <v>0</v>
      </c>
      <c r="N105" s="513"/>
      <c r="O105" s="505">
        <f t="shared" si="19"/>
        <v>0</v>
      </c>
      <c r="P105" s="505">
        <f t="shared" si="20"/>
        <v>0</v>
      </c>
    </row>
    <row r="106" spans="1:16" ht="12.5">
      <c r="B106" s="145" t="str">
        <f t="shared" si="16"/>
        <v/>
      </c>
      <c r="C106" s="496">
        <f>IF(D94="","-",+C105+1)</f>
        <v>2023</v>
      </c>
      <c r="D106" s="350">
        <f>IF(F105+SUM(E$100:E105)=D$93,F105,D$93-SUM(E$100:E105))</f>
        <v>7996018.7549603172</v>
      </c>
      <c r="E106" s="510">
        <f t="shared" si="21"/>
        <v>345097.85714285716</v>
      </c>
      <c r="F106" s="511">
        <f t="shared" si="22"/>
        <v>7650920.8978174599</v>
      </c>
      <c r="G106" s="511">
        <f t="shared" si="23"/>
        <v>7823469.8263888881</v>
      </c>
      <c r="H106" s="646">
        <f t="shared" si="25"/>
        <v>1177620.6554574685</v>
      </c>
      <c r="I106" s="628">
        <f t="shared" si="24"/>
        <v>1177620.6554574685</v>
      </c>
      <c r="J106" s="505">
        <f t="shared" si="17"/>
        <v>0</v>
      </c>
      <c r="K106" s="505"/>
      <c r="L106" s="513"/>
      <c r="M106" s="505">
        <f t="shared" si="18"/>
        <v>0</v>
      </c>
      <c r="N106" s="513"/>
      <c r="O106" s="505">
        <f t="shared" si="19"/>
        <v>0</v>
      </c>
      <c r="P106" s="505">
        <f t="shared" si="20"/>
        <v>0</v>
      </c>
    </row>
    <row r="107" spans="1:16" ht="12.5">
      <c r="B107" s="145" t="str">
        <f t="shared" si="16"/>
        <v/>
      </c>
      <c r="C107" s="496">
        <f>IF(D94="","-",+C106+1)</f>
        <v>2024</v>
      </c>
      <c r="D107" s="350">
        <f>IF(F106+SUM(E$100:E106)=D$93,F106,D$93-SUM(E$100:E106))</f>
        <v>7650920.8978174599</v>
      </c>
      <c r="E107" s="510">
        <f t="shared" si="21"/>
        <v>345097.85714285716</v>
      </c>
      <c r="F107" s="511">
        <f t="shared" si="22"/>
        <v>7305823.0406746026</v>
      </c>
      <c r="G107" s="511">
        <f t="shared" si="23"/>
        <v>7478371.9692460317</v>
      </c>
      <c r="H107" s="646">
        <f t="shared" si="25"/>
        <v>1140897.5849917443</v>
      </c>
      <c r="I107" s="628">
        <f t="shared" si="24"/>
        <v>1140897.5849917443</v>
      </c>
      <c r="J107" s="505">
        <f t="shared" si="17"/>
        <v>0</v>
      </c>
      <c r="K107" s="505"/>
      <c r="L107" s="513"/>
      <c r="M107" s="505">
        <f t="shared" si="18"/>
        <v>0</v>
      </c>
      <c r="N107" s="513"/>
      <c r="O107" s="505">
        <f t="shared" si="19"/>
        <v>0</v>
      </c>
      <c r="P107" s="505">
        <f t="shared" si="20"/>
        <v>0</v>
      </c>
    </row>
    <row r="108" spans="1:16" ht="12.5">
      <c r="B108" s="145" t="str">
        <f t="shared" si="16"/>
        <v/>
      </c>
      <c r="C108" s="496">
        <f>IF(D94="","-",+C107+1)</f>
        <v>2025</v>
      </c>
      <c r="D108" s="350">
        <f>IF(F107+SUM(E$100:E107)=D$93,F107,D$93-SUM(E$100:E107))</f>
        <v>7305823.0406746026</v>
      </c>
      <c r="E108" s="510">
        <f t="shared" si="21"/>
        <v>345097.85714285716</v>
      </c>
      <c r="F108" s="511">
        <f t="shared" si="22"/>
        <v>6960725.1835317453</v>
      </c>
      <c r="G108" s="511">
        <f t="shared" si="23"/>
        <v>7133274.1121031735</v>
      </c>
      <c r="H108" s="646">
        <f t="shared" si="25"/>
        <v>1104174.5145260198</v>
      </c>
      <c r="I108" s="628">
        <f t="shared" si="24"/>
        <v>1104174.5145260198</v>
      </c>
      <c r="J108" s="505">
        <f t="shared" si="17"/>
        <v>0</v>
      </c>
      <c r="K108" s="505"/>
      <c r="L108" s="513"/>
      <c r="M108" s="505">
        <f t="shared" si="18"/>
        <v>0</v>
      </c>
      <c r="N108" s="513"/>
      <c r="O108" s="505">
        <f t="shared" si="19"/>
        <v>0</v>
      </c>
      <c r="P108" s="505">
        <f t="shared" si="20"/>
        <v>0</v>
      </c>
    </row>
    <row r="109" spans="1:16" ht="12.5">
      <c r="B109" s="145" t="str">
        <f t="shared" si="16"/>
        <v/>
      </c>
      <c r="C109" s="496">
        <f>IF(D94="","-",+C108+1)</f>
        <v>2026</v>
      </c>
      <c r="D109" s="350">
        <f>IF(F108+SUM(E$100:E108)=D$93,F108,D$93-SUM(E$100:E108))</f>
        <v>6960725.1835317453</v>
      </c>
      <c r="E109" s="510">
        <f t="shared" si="21"/>
        <v>345097.85714285716</v>
      </c>
      <c r="F109" s="511">
        <f t="shared" si="22"/>
        <v>6615627.3263888881</v>
      </c>
      <c r="G109" s="511">
        <f t="shared" si="23"/>
        <v>6788176.2549603172</v>
      </c>
      <c r="H109" s="646">
        <f t="shared" si="25"/>
        <v>1067451.4440602954</v>
      </c>
      <c r="I109" s="628">
        <f t="shared" si="24"/>
        <v>1067451.4440602954</v>
      </c>
      <c r="J109" s="505">
        <f t="shared" si="17"/>
        <v>0</v>
      </c>
      <c r="K109" s="505"/>
      <c r="L109" s="513"/>
      <c r="M109" s="505">
        <f t="shared" si="18"/>
        <v>0</v>
      </c>
      <c r="N109" s="513"/>
      <c r="O109" s="505">
        <f t="shared" si="19"/>
        <v>0</v>
      </c>
      <c r="P109" s="505">
        <f t="shared" si="20"/>
        <v>0</v>
      </c>
    </row>
    <row r="110" spans="1:16" ht="12.5">
      <c r="B110" s="145" t="str">
        <f t="shared" si="16"/>
        <v/>
      </c>
      <c r="C110" s="496">
        <f>IF(D94="","-",+C109+1)</f>
        <v>2027</v>
      </c>
      <c r="D110" s="350">
        <f>IF(F109+SUM(E$100:E109)=D$93,F109,D$93-SUM(E$100:E109))</f>
        <v>6615627.3263888881</v>
      </c>
      <c r="E110" s="510">
        <f t="shared" si="21"/>
        <v>345097.85714285716</v>
      </c>
      <c r="F110" s="511">
        <f t="shared" si="22"/>
        <v>6270529.4692460308</v>
      </c>
      <c r="G110" s="511">
        <f t="shared" si="23"/>
        <v>6443078.397817459</v>
      </c>
      <c r="H110" s="646">
        <f t="shared" si="25"/>
        <v>1030728.373594571</v>
      </c>
      <c r="I110" s="628">
        <f t="shared" si="24"/>
        <v>1030728.373594571</v>
      </c>
      <c r="J110" s="505">
        <f t="shared" si="17"/>
        <v>0</v>
      </c>
      <c r="K110" s="505"/>
      <c r="L110" s="513"/>
      <c r="M110" s="505">
        <f t="shared" si="18"/>
        <v>0</v>
      </c>
      <c r="N110" s="513"/>
      <c r="O110" s="505">
        <f t="shared" si="19"/>
        <v>0</v>
      </c>
      <c r="P110" s="505">
        <f t="shared" si="20"/>
        <v>0</v>
      </c>
    </row>
    <row r="111" spans="1:16" ht="12.5">
      <c r="B111" s="145" t="str">
        <f t="shared" si="16"/>
        <v/>
      </c>
      <c r="C111" s="496">
        <f>IF(D94="","-",+C110+1)</f>
        <v>2028</v>
      </c>
      <c r="D111" s="350">
        <f>IF(F110+SUM(E$100:E110)=D$93,F110,D$93-SUM(E$100:E110))</f>
        <v>6270529.4692460308</v>
      </c>
      <c r="E111" s="510">
        <f t="shared" si="21"/>
        <v>345097.85714285716</v>
      </c>
      <c r="F111" s="511">
        <f t="shared" si="22"/>
        <v>5925431.6121031735</v>
      </c>
      <c r="G111" s="511">
        <f t="shared" si="23"/>
        <v>6097980.5406746026</v>
      </c>
      <c r="H111" s="646">
        <f t="shared" si="25"/>
        <v>994005.30312884669</v>
      </c>
      <c r="I111" s="628">
        <f t="shared" si="24"/>
        <v>994005.30312884669</v>
      </c>
      <c r="J111" s="505">
        <f t="shared" si="17"/>
        <v>0</v>
      </c>
      <c r="K111" s="505"/>
      <c r="L111" s="513"/>
      <c r="M111" s="505">
        <f t="shared" si="18"/>
        <v>0</v>
      </c>
      <c r="N111" s="513"/>
      <c r="O111" s="505">
        <f t="shared" si="19"/>
        <v>0</v>
      </c>
      <c r="P111" s="505">
        <f t="shared" si="20"/>
        <v>0</v>
      </c>
    </row>
    <row r="112" spans="1:16" ht="12.5">
      <c r="B112" s="145" t="str">
        <f t="shared" si="16"/>
        <v/>
      </c>
      <c r="C112" s="496">
        <f>IF(D94="","-",+C111+1)</f>
        <v>2029</v>
      </c>
      <c r="D112" s="350">
        <f>IF(F111+SUM(E$100:E111)=D$93,F111,D$93-SUM(E$100:E111))</f>
        <v>5925431.6121031735</v>
      </c>
      <c r="E112" s="510">
        <f t="shared" si="21"/>
        <v>345097.85714285716</v>
      </c>
      <c r="F112" s="511">
        <f t="shared" si="22"/>
        <v>5580333.7549603162</v>
      </c>
      <c r="G112" s="511">
        <f t="shared" si="23"/>
        <v>5752882.6835317444</v>
      </c>
      <c r="H112" s="646">
        <f t="shared" si="25"/>
        <v>957282.23266312224</v>
      </c>
      <c r="I112" s="628">
        <f t="shared" si="24"/>
        <v>957282.23266312224</v>
      </c>
      <c r="J112" s="505">
        <f t="shared" si="17"/>
        <v>0</v>
      </c>
      <c r="K112" s="505"/>
      <c r="L112" s="513"/>
      <c r="M112" s="505">
        <f t="shared" si="18"/>
        <v>0</v>
      </c>
      <c r="N112" s="513"/>
      <c r="O112" s="505">
        <f t="shared" si="19"/>
        <v>0</v>
      </c>
      <c r="P112" s="505">
        <f t="shared" si="20"/>
        <v>0</v>
      </c>
    </row>
    <row r="113" spans="2:16" ht="12.5">
      <c r="B113" s="145" t="str">
        <f t="shared" si="16"/>
        <v/>
      </c>
      <c r="C113" s="496">
        <f>IF(D94="","-",+C112+1)</f>
        <v>2030</v>
      </c>
      <c r="D113" s="350">
        <f>IF(F112+SUM(E$100:E112)=D$93,F112,D$93-SUM(E$100:E112))</f>
        <v>5580333.7549603162</v>
      </c>
      <c r="E113" s="510">
        <f t="shared" si="21"/>
        <v>345097.85714285716</v>
      </c>
      <c r="F113" s="511">
        <f t="shared" si="22"/>
        <v>5235235.897817459</v>
      </c>
      <c r="G113" s="511">
        <f t="shared" si="23"/>
        <v>5407784.8263888881</v>
      </c>
      <c r="H113" s="646">
        <f t="shared" si="25"/>
        <v>920559.16219739802</v>
      </c>
      <c r="I113" s="628">
        <f t="shared" si="24"/>
        <v>920559.16219739802</v>
      </c>
      <c r="J113" s="505">
        <f t="shared" si="17"/>
        <v>0</v>
      </c>
      <c r="K113" s="505"/>
      <c r="L113" s="513"/>
      <c r="M113" s="505">
        <f t="shared" si="18"/>
        <v>0</v>
      </c>
      <c r="N113" s="513"/>
      <c r="O113" s="505">
        <f t="shared" si="19"/>
        <v>0</v>
      </c>
      <c r="P113" s="505">
        <f t="shared" si="20"/>
        <v>0</v>
      </c>
    </row>
    <row r="114" spans="2:16" ht="12.5">
      <c r="B114" s="145" t="str">
        <f t="shared" si="16"/>
        <v/>
      </c>
      <c r="C114" s="496">
        <f>IF(D94="","-",+C113+1)</f>
        <v>2031</v>
      </c>
      <c r="D114" s="350">
        <f>IF(F113+SUM(E$100:E113)=D$93,F113,D$93-SUM(E$100:E113))</f>
        <v>5235235.897817459</v>
      </c>
      <c r="E114" s="510">
        <f t="shared" si="21"/>
        <v>345097.85714285716</v>
      </c>
      <c r="F114" s="511">
        <f t="shared" si="22"/>
        <v>4890138.0406746017</v>
      </c>
      <c r="G114" s="511">
        <f t="shared" si="23"/>
        <v>5062686.9692460299</v>
      </c>
      <c r="H114" s="646">
        <f t="shared" si="25"/>
        <v>883836.09173167357</v>
      </c>
      <c r="I114" s="628">
        <f t="shared" si="24"/>
        <v>883836.09173167357</v>
      </c>
      <c r="J114" s="505">
        <f t="shared" si="17"/>
        <v>0</v>
      </c>
      <c r="K114" s="505"/>
      <c r="L114" s="513"/>
      <c r="M114" s="505">
        <f t="shared" si="18"/>
        <v>0</v>
      </c>
      <c r="N114" s="513"/>
      <c r="O114" s="505">
        <f t="shared" si="19"/>
        <v>0</v>
      </c>
      <c r="P114" s="505">
        <f t="shared" si="20"/>
        <v>0</v>
      </c>
    </row>
    <row r="115" spans="2:16" ht="12.5">
      <c r="B115" s="145" t="str">
        <f t="shared" si="16"/>
        <v/>
      </c>
      <c r="C115" s="496">
        <f>IF(D94="","-",+C114+1)</f>
        <v>2032</v>
      </c>
      <c r="D115" s="350">
        <f>IF(F114+SUM(E$100:E114)=D$93,F114,D$93-SUM(E$100:E114))</f>
        <v>4890138.0406746017</v>
      </c>
      <c r="E115" s="510">
        <f t="shared" si="21"/>
        <v>345097.85714285716</v>
      </c>
      <c r="F115" s="511">
        <f t="shared" si="22"/>
        <v>4545040.1835317444</v>
      </c>
      <c r="G115" s="511">
        <f t="shared" si="23"/>
        <v>4717589.1121031735</v>
      </c>
      <c r="H115" s="646">
        <f t="shared" si="25"/>
        <v>847113.02126594936</v>
      </c>
      <c r="I115" s="628">
        <f t="shared" si="24"/>
        <v>847113.02126594936</v>
      </c>
      <c r="J115" s="505">
        <f t="shared" si="17"/>
        <v>0</v>
      </c>
      <c r="K115" s="505"/>
      <c r="L115" s="513"/>
      <c r="M115" s="505">
        <f t="shared" si="18"/>
        <v>0</v>
      </c>
      <c r="N115" s="513"/>
      <c r="O115" s="505">
        <f t="shared" si="19"/>
        <v>0</v>
      </c>
      <c r="P115" s="505">
        <f t="shared" si="20"/>
        <v>0</v>
      </c>
    </row>
    <row r="116" spans="2:16" ht="12.5">
      <c r="B116" s="145" t="str">
        <f t="shared" si="16"/>
        <v/>
      </c>
      <c r="C116" s="496">
        <f>IF(D94="","-",+C115+1)</f>
        <v>2033</v>
      </c>
      <c r="D116" s="350">
        <f>IF(F115+SUM(E$100:E115)=D$93,F115,D$93-SUM(E$100:E115))</f>
        <v>4545040.1835317444</v>
      </c>
      <c r="E116" s="510">
        <f t="shared" si="21"/>
        <v>345097.85714285716</v>
      </c>
      <c r="F116" s="511">
        <f t="shared" si="22"/>
        <v>4199942.3263888871</v>
      </c>
      <c r="G116" s="511">
        <f t="shared" si="23"/>
        <v>4372491.2549603153</v>
      </c>
      <c r="H116" s="646">
        <f t="shared" si="25"/>
        <v>810389.95080022479</v>
      </c>
      <c r="I116" s="628">
        <f t="shared" si="24"/>
        <v>810389.95080022479</v>
      </c>
      <c r="J116" s="505">
        <f t="shared" si="17"/>
        <v>0</v>
      </c>
      <c r="K116" s="505"/>
      <c r="L116" s="513"/>
      <c r="M116" s="505">
        <f t="shared" si="18"/>
        <v>0</v>
      </c>
      <c r="N116" s="513"/>
      <c r="O116" s="505">
        <f t="shared" si="19"/>
        <v>0</v>
      </c>
      <c r="P116" s="505">
        <f t="shared" si="20"/>
        <v>0</v>
      </c>
    </row>
    <row r="117" spans="2:16" ht="12.5">
      <c r="B117" s="145" t="str">
        <f t="shared" si="16"/>
        <v/>
      </c>
      <c r="C117" s="496">
        <f>IF(D94="","-",+C116+1)</f>
        <v>2034</v>
      </c>
      <c r="D117" s="350">
        <f>IF(F116+SUM(E$100:E116)=D$93,F116,D$93-SUM(E$100:E116))</f>
        <v>4199942.3263888871</v>
      </c>
      <c r="E117" s="510">
        <f t="shared" si="21"/>
        <v>345097.85714285716</v>
      </c>
      <c r="F117" s="511">
        <f t="shared" si="22"/>
        <v>3854844.4692460299</v>
      </c>
      <c r="G117" s="511">
        <f t="shared" si="23"/>
        <v>4027393.3978174585</v>
      </c>
      <c r="H117" s="646">
        <f t="shared" si="25"/>
        <v>773666.88033450046</v>
      </c>
      <c r="I117" s="628">
        <f t="shared" si="24"/>
        <v>773666.88033450046</v>
      </c>
      <c r="J117" s="505">
        <f t="shared" si="17"/>
        <v>0</v>
      </c>
      <c r="K117" s="505"/>
      <c r="L117" s="513"/>
      <c r="M117" s="505">
        <f t="shared" si="18"/>
        <v>0</v>
      </c>
      <c r="N117" s="513"/>
      <c r="O117" s="505">
        <f t="shared" si="19"/>
        <v>0</v>
      </c>
      <c r="P117" s="505">
        <f t="shared" si="20"/>
        <v>0</v>
      </c>
    </row>
    <row r="118" spans="2:16" ht="12.5">
      <c r="B118" s="145" t="str">
        <f t="shared" si="16"/>
        <v/>
      </c>
      <c r="C118" s="496">
        <f>IF(D94="","-",+C117+1)</f>
        <v>2035</v>
      </c>
      <c r="D118" s="350">
        <f>IF(F117+SUM(E$100:E117)=D$93,F117,D$93-SUM(E$100:E117))</f>
        <v>3854844.4692460299</v>
      </c>
      <c r="E118" s="510">
        <f t="shared" si="21"/>
        <v>345097.85714285716</v>
      </c>
      <c r="F118" s="511">
        <f t="shared" si="22"/>
        <v>3509746.6121031726</v>
      </c>
      <c r="G118" s="511">
        <f t="shared" si="23"/>
        <v>3682295.5406746012</v>
      </c>
      <c r="H118" s="646">
        <f t="shared" si="25"/>
        <v>736943.80986877612</v>
      </c>
      <c r="I118" s="628">
        <f t="shared" si="24"/>
        <v>736943.80986877612</v>
      </c>
      <c r="J118" s="505">
        <f t="shared" si="17"/>
        <v>0</v>
      </c>
      <c r="K118" s="505"/>
      <c r="L118" s="513"/>
      <c r="M118" s="505">
        <f t="shared" si="18"/>
        <v>0</v>
      </c>
      <c r="N118" s="513"/>
      <c r="O118" s="505">
        <f t="shared" si="19"/>
        <v>0</v>
      </c>
      <c r="P118" s="505">
        <f t="shared" si="20"/>
        <v>0</v>
      </c>
    </row>
    <row r="119" spans="2:16" ht="12.5">
      <c r="B119" s="145" t="str">
        <f t="shared" si="16"/>
        <v/>
      </c>
      <c r="C119" s="496">
        <f>IF(D94="","-",+C118+1)</f>
        <v>2036</v>
      </c>
      <c r="D119" s="350">
        <f>IF(F118+SUM(E$100:E118)=D$93,F118,D$93-SUM(E$100:E118))</f>
        <v>3509746.6121031726</v>
      </c>
      <c r="E119" s="510">
        <f t="shared" si="21"/>
        <v>345097.85714285716</v>
      </c>
      <c r="F119" s="511">
        <f t="shared" si="22"/>
        <v>3164648.7549603153</v>
      </c>
      <c r="G119" s="511">
        <f t="shared" si="23"/>
        <v>3337197.6835317439</v>
      </c>
      <c r="H119" s="646">
        <f t="shared" si="25"/>
        <v>700220.73940305179</v>
      </c>
      <c r="I119" s="628">
        <f t="shared" si="24"/>
        <v>700220.73940305179</v>
      </c>
      <c r="J119" s="505">
        <f t="shared" si="17"/>
        <v>0</v>
      </c>
      <c r="K119" s="505"/>
      <c r="L119" s="513"/>
      <c r="M119" s="505">
        <f t="shared" si="18"/>
        <v>0</v>
      </c>
      <c r="N119" s="513"/>
      <c r="O119" s="505">
        <f t="shared" si="19"/>
        <v>0</v>
      </c>
      <c r="P119" s="505">
        <f t="shared" si="20"/>
        <v>0</v>
      </c>
    </row>
    <row r="120" spans="2:16" ht="12.5">
      <c r="B120" s="145" t="str">
        <f t="shared" si="16"/>
        <v/>
      </c>
      <c r="C120" s="496">
        <f>IF(D94="","-",+C119+1)</f>
        <v>2037</v>
      </c>
      <c r="D120" s="350">
        <f>IF(F119+SUM(E$100:E119)=D$93,F119,D$93-SUM(E$100:E119))</f>
        <v>3164648.7549603153</v>
      </c>
      <c r="E120" s="510">
        <f t="shared" si="21"/>
        <v>345097.85714285716</v>
      </c>
      <c r="F120" s="511">
        <f t="shared" si="22"/>
        <v>2819550.897817458</v>
      </c>
      <c r="G120" s="511">
        <f t="shared" si="23"/>
        <v>2992099.8263888867</v>
      </c>
      <c r="H120" s="646">
        <f t="shared" si="25"/>
        <v>663497.66893732734</v>
      </c>
      <c r="I120" s="628">
        <f t="shared" si="24"/>
        <v>663497.66893732734</v>
      </c>
      <c r="J120" s="505">
        <f t="shared" si="17"/>
        <v>0</v>
      </c>
      <c r="K120" s="505"/>
      <c r="L120" s="513"/>
      <c r="M120" s="505">
        <f t="shared" si="18"/>
        <v>0</v>
      </c>
      <c r="N120" s="513"/>
      <c r="O120" s="505">
        <f t="shared" si="19"/>
        <v>0</v>
      </c>
      <c r="P120" s="505">
        <f t="shared" si="20"/>
        <v>0</v>
      </c>
    </row>
    <row r="121" spans="2:16" ht="12.5">
      <c r="B121" s="145" t="str">
        <f t="shared" si="16"/>
        <v/>
      </c>
      <c r="C121" s="496">
        <f>IF(D94="","-",+C120+1)</f>
        <v>2038</v>
      </c>
      <c r="D121" s="350">
        <f>IF(F120+SUM(E$100:E120)=D$93,F120,D$93-SUM(E$100:E120))</f>
        <v>2819550.897817458</v>
      </c>
      <c r="E121" s="510">
        <f t="shared" si="21"/>
        <v>345097.85714285716</v>
      </c>
      <c r="F121" s="511">
        <f t="shared" si="22"/>
        <v>2474453.0406746008</v>
      </c>
      <c r="G121" s="511">
        <f t="shared" si="23"/>
        <v>2647001.9692460294</v>
      </c>
      <c r="H121" s="646">
        <f t="shared" si="25"/>
        <v>626774.59847160301</v>
      </c>
      <c r="I121" s="628">
        <f t="shared" si="24"/>
        <v>626774.59847160301</v>
      </c>
      <c r="J121" s="505">
        <f t="shared" si="17"/>
        <v>0</v>
      </c>
      <c r="K121" s="505"/>
      <c r="L121" s="513"/>
      <c r="M121" s="505">
        <f t="shared" si="18"/>
        <v>0</v>
      </c>
      <c r="N121" s="513"/>
      <c r="O121" s="505">
        <f t="shared" si="19"/>
        <v>0</v>
      </c>
      <c r="P121" s="505">
        <f t="shared" si="20"/>
        <v>0</v>
      </c>
    </row>
    <row r="122" spans="2:16" ht="12.5">
      <c r="B122" s="145" t="str">
        <f t="shared" si="16"/>
        <v/>
      </c>
      <c r="C122" s="496">
        <f>IF(D94="","-",+C121+1)</f>
        <v>2039</v>
      </c>
      <c r="D122" s="350">
        <f>IF(F121+SUM(E$100:E121)=D$93,F121,D$93-SUM(E$100:E121))</f>
        <v>2474453.0406746008</v>
      </c>
      <c r="E122" s="510">
        <f t="shared" si="21"/>
        <v>345097.85714285716</v>
      </c>
      <c r="F122" s="511">
        <f t="shared" si="22"/>
        <v>2129355.1835317435</v>
      </c>
      <c r="G122" s="511">
        <f t="shared" si="23"/>
        <v>2301904.1121031721</v>
      </c>
      <c r="H122" s="646">
        <f t="shared" si="25"/>
        <v>590051.52800587867</v>
      </c>
      <c r="I122" s="628">
        <f t="shared" si="24"/>
        <v>590051.52800587867</v>
      </c>
      <c r="J122" s="505">
        <f t="shared" si="17"/>
        <v>0</v>
      </c>
      <c r="K122" s="505"/>
      <c r="L122" s="513"/>
      <c r="M122" s="505">
        <f t="shared" si="18"/>
        <v>0</v>
      </c>
      <c r="N122" s="513"/>
      <c r="O122" s="505">
        <f t="shared" si="19"/>
        <v>0</v>
      </c>
      <c r="P122" s="505">
        <f t="shared" si="20"/>
        <v>0</v>
      </c>
    </row>
    <row r="123" spans="2:16" ht="12.5">
      <c r="B123" s="145" t="str">
        <f t="shared" si="16"/>
        <v/>
      </c>
      <c r="C123" s="496">
        <f>IF(D94="","-",+C122+1)</f>
        <v>2040</v>
      </c>
      <c r="D123" s="350">
        <f>IF(F122+SUM(E$100:E122)=D$93,F122,D$93-SUM(E$100:E122))</f>
        <v>2129355.1835317435</v>
      </c>
      <c r="E123" s="510">
        <f t="shared" si="21"/>
        <v>345097.85714285716</v>
      </c>
      <c r="F123" s="511">
        <f t="shared" si="22"/>
        <v>1784257.3263888862</v>
      </c>
      <c r="G123" s="511">
        <f t="shared" si="23"/>
        <v>1956806.2549603148</v>
      </c>
      <c r="H123" s="646">
        <f t="shared" si="25"/>
        <v>553328.45754015422</v>
      </c>
      <c r="I123" s="628">
        <f t="shared" si="24"/>
        <v>553328.45754015422</v>
      </c>
      <c r="J123" s="505">
        <f t="shared" si="17"/>
        <v>0</v>
      </c>
      <c r="K123" s="505"/>
      <c r="L123" s="513"/>
      <c r="M123" s="505">
        <f t="shared" si="18"/>
        <v>0</v>
      </c>
      <c r="N123" s="513"/>
      <c r="O123" s="505">
        <f t="shared" si="19"/>
        <v>0</v>
      </c>
      <c r="P123" s="505">
        <f t="shared" si="20"/>
        <v>0</v>
      </c>
    </row>
    <row r="124" spans="2:16" ht="12.5">
      <c r="B124" s="145" t="str">
        <f t="shared" si="16"/>
        <v/>
      </c>
      <c r="C124" s="496">
        <f>IF(D94="","-",+C123+1)</f>
        <v>2041</v>
      </c>
      <c r="D124" s="350">
        <f>IF(F123+SUM(E$100:E123)=D$93,F123,D$93-SUM(E$100:E123))</f>
        <v>1784257.3263888862</v>
      </c>
      <c r="E124" s="510">
        <f t="shared" si="21"/>
        <v>345097.85714285716</v>
      </c>
      <c r="F124" s="511">
        <f t="shared" si="22"/>
        <v>1439159.4692460289</v>
      </c>
      <c r="G124" s="511">
        <f t="shared" si="23"/>
        <v>1611708.3978174576</v>
      </c>
      <c r="H124" s="646">
        <f t="shared" si="25"/>
        <v>516605.38707442989</v>
      </c>
      <c r="I124" s="628">
        <f t="shared" si="24"/>
        <v>516605.38707442989</v>
      </c>
      <c r="J124" s="505">
        <f t="shared" si="17"/>
        <v>0</v>
      </c>
      <c r="K124" s="505"/>
      <c r="L124" s="513"/>
      <c r="M124" s="505">
        <f t="shared" si="18"/>
        <v>0</v>
      </c>
      <c r="N124" s="513"/>
      <c r="O124" s="505">
        <f t="shared" si="19"/>
        <v>0</v>
      </c>
      <c r="P124" s="505">
        <f t="shared" si="20"/>
        <v>0</v>
      </c>
    </row>
    <row r="125" spans="2:16" ht="12.5">
      <c r="B125" s="145" t="str">
        <f t="shared" si="16"/>
        <v/>
      </c>
      <c r="C125" s="496">
        <f>IF(D94="","-",+C124+1)</f>
        <v>2042</v>
      </c>
      <c r="D125" s="350">
        <f>IF(F124+SUM(E$100:E124)=D$93,F124,D$93-SUM(E$100:E124))</f>
        <v>1439159.4692460289</v>
      </c>
      <c r="E125" s="510">
        <f t="shared" si="21"/>
        <v>345097.85714285716</v>
      </c>
      <c r="F125" s="511">
        <f t="shared" si="22"/>
        <v>1094061.6121031716</v>
      </c>
      <c r="G125" s="511">
        <f t="shared" si="23"/>
        <v>1266610.5406746003</v>
      </c>
      <c r="H125" s="646">
        <f t="shared" si="25"/>
        <v>479882.31660870556</v>
      </c>
      <c r="I125" s="628">
        <f t="shared" si="24"/>
        <v>479882.31660870556</v>
      </c>
      <c r="J125" s="505">
        <f t="shared" si="17"/>
        <v>0</v>
      </c>
      <c r="K125" s="505"/>
      <c r="L125" s="513"/>
      <c r="M125" s="505">
        <f t="shared" si="18"/>
        <v>0</v>
      </c>
      <c r="N125" s="513"/>
      <c r="O125" s="505">
        <f t="shared" si="19"/>
        <v>0</v>
      </c>
      <c r="P125" s="505">
        <f t="shared" si="20"/>
        <v>0</v>
      </c>
    </row>
    <row r="126" spans="2:16" ht="12.5">
      <c r="B126" s="145" t="str">
        <f t="shared" si="16"/>
        <v/>
      </c>
      <c r="C126" s="496">
        <f>IF(D94="","-",+C125+1)</f>
        <v>2043</v>
      </c>
      <c r="D126" s="350">
        <f>IF(F125+SUM(E$100:E125)=D$93,F125,D$93-SUM(E$100:E125))</f>
        <v>1094061.6121031716</v>
      </c>
      <c r="E126" s="510">
        <f t="shared" si="21"/>
        <v>345097.85714285716</v>
      </c>
      <c r="F126" s="511">
        <f t="shared" si="22"/>
        <v>748963.75496031449</v>
      </c>
      <c r="G126" s="511">
        <f t="shared" si="23"/>
        <v>921512.68353174301</v>
      </c>
      <c r="H126" s="646">
        <f t="shared" si="25"/>
        <v>443159.24614298117</v>
      </c>
      <c r="I126" s="628">
        <f t="shared" si="24"/>
        <v>443159.24614298117</v>
      </c>
      <c r="J126" s="505">
        <f t="shared" si="17"/>
        <v>0</v>
      </c>
      <c r="K126" s="505"/>
      <c r="L126" s="513"/>
      <c r="M126" s="505">
        <f t="shared" si="18"/>
        <v>0</v>
      </c>
      <c r="N126" s="513"/>
      <c r="O126" s="505">
        <f t="shared" si="19"/>
        <v>0</v>
      </c>
      <c r="P126" s="505">
        <f t="shared" si="20"/>
        <v>0</v>
      </c>
    </row>
    <row r="127" spans="2:16" ht="12.5">
      <c r="B127" s="145" t="str">
        <f t="shared" si="16"/>
        <v/>
      </c>
      <c r="C127" s="496">
        <f>IF(D94="","-",+C126+1)</f>
        <v>2044</v>
      </c>
      <c r="D127" s="350">
        <f>IF(F126+SUM(E$100:E126)=D$93,F126,D$93-SUM(E$100:E126))</f>
        <v>748963.75496031449</v>
      </c>
      <c r="E127" s="510">
        <f t="shared" si="21"/>
        <v>345097.85714285716</v>
      </c>
      <c r="F127" s="511">
        <f t="shared" si="22"/>
        <v>403865.89781745733</v>
      </c>
      <c r="G127" s="511">
        <f t="shared" si="23"/>
        <v>576414.82638888597</v>
      </c>
      <c r="H127" s="646">
        <f t="shared" si="25"/>
        <v>406436.17567725683</v>
      </c>
      <c r="I127" s="628">
        <f t="shared" si="24"/>
        <v>406436.17567725683</v>
      </c>
      <c r="J127" s="505">
        <f t="shared" si="17"/>
        <v>0</v>
      </c>
      <c r="K127" s="505"/>
      <c r="L127" s="513"/>
      <c r="M127" s="505">
        <f t="shared" si="18"/>
        <v>0</v>
      </c>
      <c r="N127" s="513"/>
      <c r="O127" s="505">
        <f t="shared" si="19"/>
        <v>0</v>
      </c>
      <c r="P127" s="505">
        <f t="shared" si="20"/>
        <v>0</v>
      </c>
    </row>
    <row r="128" spans="2:16" ht="12.5">
      <c r="B128" s="145" t="str">
        <f t="shared" si="16"/>
        <v/>
      </c>
      <c r="C128" s="496">
        <f>IF(D94="","-",+C127+1)</f>
        <v>2045</v>
      </c>
      <c r="D128" s="350">
        <f>IF(F127+SUM(E$100:E127)=D$93,F127,D$93-SUM(E$100:E127))</f>
        <v>403865.89781745733</v>
      </c>
      <c r="E128" s="510">
        <f t="shared" si="21"/>
        <v>345097.85714285716</v>
      </c>
      <c r="F128" s="511">
        <f t="shared" si="22"/>
        <v>58768.040674600168</v>
      </c>
      <c r="G128" s="511">
        <f t="shared" si="23"/>
        <v>231316.96924602875</v>
      </c>
      <c r="H128" s="646">
        <f t="shared" si="25"/>
        <v>369713.1052115325</v>
      </c>
      <c r="I128" s="628">
        <f t="shared" si="24"/>
        <v>369713.1052115325</v>
      </c>
      <c r="J128" s="505">
        <f t="shared" si="17"/>
        <v>0</v>
      </c>
      <c r="K128" s="505"/>
      <c r="L128" s="513"/>
      <c r="M128" s="505">
        <f t="shared" si="18"/>
        <v>0</v>
      </c>
      <c r="N128" s="513"/>
      <c r="O128" s="505">
        <f t="shared" si="19"/>
        <v>0</v>
      </c>
      <c r="P128" s="505">
        <f t="shared" si="20"/>
        <v>0</v>
      </c>
    </row>
    <row r="129" spans="2:16" ht="12.5">
      <c r="B129" s="145" t="str">
        <f t="shared" si="16"/>
        <v/>
      </c>
      <c r="C129" s="496">
        <f>IF(D94="","-",+C128+1)</f>
        <v>2046</v>
      </c>
      <c r="D129" s="350">
        <f>IF(F128+SUM(E$100:E128)=D$93,F128,D$93-SUM(E$100:E128))</f>
        <v>58768.040674600168</v>
      </c>
      <c r="E129" s="510">
        <f t="shared" si="21"/>
        <v>58768.040674600168</v>
      </c>
      <c r="F129" s="511">
        <f t="shared" si="22"/>
        <v>0</v>
      </c>
      <c r="G129" s="511">
        <f t="shared" si="23"/>
        <v>29384.020337300084</v>
      </c>
      <c r="H129" s="646">
        <f t="shared" si="25"/>
        <v>61894.897092506741</v>
      </c>
      <c r="I129" s="628">
        <f t="shared" si="24"/>
        <v>61894.897092506741</v>
      </c>
      <c r="J129" s="505">
        <f t="shared" si="17"/>
        <v>0</v>
      </c>
      <c r="K129" s="505"/>
      <c r="L129" s="513"/>
      <c r="M129" s="505">
        <f t="shared" si="18"/>
        <v>0</v>
      </c>
      <c r="N129" s="513"/>
      <c r="O129" s="505">
        <f t="shared" si="19"/>
        <v>0</v>
      </c>
      <c r="P129" s="505">
        <f t="shared" si="20"/>
        <v>0</v>
      </c>
    </row>
    <row r="130" spans="2:16" ht="12.5">
      <c r="B130" s="145" t="str">
        <f t="shared" si="16"/>
        <v/>
      </c>
      <c r="C130" s="496">
        <f>IF(D94="","-",+C129+1)</f>
        <v>2047</v>
      </c>
      <c r="D130" s="350">
        <f>IF(F129+SUM(E$100:E129)=D$93,F129,D$93-SUM(E$100:E129))</f>
        <v>0</v>
      </c>
      <c r="E130" s="510">
        <f t="shared" si="21"/>
        <v>0</v>
      </c>
      <c r="F130" s="511">
        <f t="shared" si="22"/>
        <v>0</v>
      </c>
      <c r="G130" s="511">
        <f t="shared" si="23"/>
        <v>0</v>
      </c>
      <c r="H130" s="646">
        <f t="shared" si="25"/>
        <v>0</v>
      </c>
      <c r="I130" s="628">
        <f t="shared" si="24"/>
        <v>0</v>
      </c>
      <c r="J130" s="505">
        <f t="shared" si="17"/>
        <v>0</v>
      </c>
      <c r="K130" s="505"/>
      <c r="L130" s="513"/>
      <c r="M130" s="505">
        <f t="shared" si="18"/>
        <v>0</v>
      </c>
      <c r="N130" s="513"/>
      <c r="O130" s="505">
        <f t="shared" si="19"/>
        <v>0</v>
      </c>
      <c r="P130" s="505">
        <f t="shared" si="20"/>
        <v>0</v>
      </c>
    </row>
    <row r="131" spans="2:16" ht="12.5">
      <c r="B131" s="145" t="str">
        <f t="shared" si="16"/>
        <v/>
      </c>
      <c r="C131" s="496">
        <f>IF(D94="","-",+C130+1)</f>
        <v>2048</v>
      </c>
      <c r="D131" s="350">
        <f>IF(F130+SUM(E$100:E130)=D$93,F130,D$93-SUM(E$100:E130))</f>
        <v>0</v>
      </c>
      <c r="E131" s="510">
        <f t="shared" si="21"/>
        <v>0</v>
      </c>
      <c r="F131" s="511">
        <f t="shared" si="22"/>
        <v>0</v>
      </c>
      <c r="G131" s="511">
        <f t="shared" si="23"/>
        <v>0</v>
      </c>
      <c r="H131" s="646">
        <f t="shared" si="25"/>
        <v>0</v>
      </c>
      <c r="I131" s="628">
        <f t="shared" si="24"/>
        <v>0</v>
      </c>
      <c r="J131" s="505">
        <f t="shared" si="17"/>
        <v>0</v>
      </c>
      <c r="K131" s="505"/>
      <c r="L131" s="513"/>
      <c r="M131" s="505">
        <f t="shared" si="18"/>
        <v>0</v>
      </c>
      <c r="N131" s="513"/>
      <c r="O131" s="505">
        <f t="shared" si="19"/>
        <v>0</v>
      </c>
      <c r="P131" s="505">
        <f t="shared" si="20"/>
        <v>0</v>
      </c>
    </row>
    <row r="132" spans="2:16" ht="12.5">
      <c r="B132" s="145" t="str">
        <f t="shared" si="16"/>
        <v/>
      </c>
      <c r="C132" s="496">
        <f>IF(D94="","-",+C131+1)</f>
        <v>2049</v>
      </c>
      <c r="D132" s="350">
        <f>IF(F131+SUM(E$100:E131)=D$93,F131,D$93-SUM(E$100:E131))</f>
        <v>0</v>
      </c>
      <c r="E132" s="510">
        <f t="shared" si="21"/>
        <v>0</v>
      </c>
      <c r="F132" s="511">
        <f t="shared" ref="F132:F155" si="26">+D132-E132</f>
        <v>0</v>
      </c>
      <c r="G132" s="511">
        <f t="shared" ref="G132:G155" si="27">+(F132+D132)/2</f>
        <v>0</v>
      </c>
      <c r="H132" s="646">
        <f t="shared" si="25"/>
        <v>0</v>
      </c>
      <c r="I132" s="628">
        <f t="shared" si="24"/>
        <v>0</v>
      </c>
      <c r="J132" s="505">
        <f t="shared" ref="J132:J155" si="28">+I542-H542</f>
        <v>0</v>
      </c>
      <c r="K132" s="505"/>
      <c r="L132" s="513"/>
      <c r="M132" s="505">
        <f t="shared" ref="M132:M155" si="29">IF(L542&lt;&gt;0,+H542-L542,0)</f>
        <v>0</v>
      </c>
      <c r="N132" s="513"/>
      <c r="O132" s="505">
        <f t="shared" ref="O132:O155" si="30">IF(N542&lt;&gt;0,+I542-N542,0)</f>
        <v>0</v>
      </c>
      <c r="P132" s="505">
        <f t="shared" ref="P132:P155" si="31">+O542-M542</f>
        <v>0</v>
      </c>
    </row>
    <row r="133" spans="2:16" ht="12.5">
      <c r="B133" s="145" t="str">
        <f t="shared" si="16"/>
        <v/>
      </c>
      <c r="C133" s="496">
        <f>IF(D94="","-",+C132+1)</f>
        <v>2050</v>
      </c>
      <c r="D133" s="350">
        <f>IF(F132+SUM(E$100:E132)=D$93,F132,D$93-SUM(E$100:E132))</f>
        <v>0</v>
      </c>
      <c r="E133" s="510">
        <f t="shared" ref="E133:E155" si="32">IF(+J$97&lt;F132,J$97,D133)</f>
        <v>0</v>
      </c>
      <c r="F133" s="511">
        <f t="shared" si="26"/>
        <v>0</v>
      </c>
      <c r="G133" s="511">
        <f t="shared" si="27"/>
        <v>0</v>
      </c>
      <c r="H133" s="646">
        <f t="shared" si="25"/>
        <v>0</v>
      </c>
      <c r="I133" s="628">
        <f t="shared" si="24"/>
        <v>0</v>
      </c>
      <c r="J133" s="505">
        <f t="shared" si="28"/>
        <v>0</v>
      </c>
      <c r="K133" s="505"/>
      <c r="L133" s="513"/>
      <c r="M133" s="505">
        <f t="shared" si="29"/>
        <v>0</v>
      </c>
      <c r="N133" s="513"/>
      <c r="O133" s="505">
        <f t="shared" si="30"/>
        <v>0</v>
      </c>
      <c r="P133" s="505">
        <f t="shared" si="31"/>
        <v>0</v>
      </c>
    </row>
    <row r="134" spans="2:16" ht="12.5">
      <c r="B134" s="145" t="str">
        <f t="shared" si="16"/>
        <v/>
      </c>
      <c r="C134" s="496">
        <f>IF(D94="","-",+C133+1)</f>
        <v>2051</v>
      </c>
      <c r="D134" s="350">
        <f>IF(F133+SUM(E$100:E133)=D$93,F133,D$93-SUM(E$100:E133))</f>
        <v>0</v>
      </c>
      <c r="E134" s="510">
        <f t="shared" si="32"/>
        <v>0</v>
      </c>
      <c r="F134" s="511">
        <f t="shared" si="26"/>
        <v>0</v>
      </c>
      <c r="G134" s="511">
        <f t="shared" si="27"/>
        <v>0</v>
      </c>
      <c r="H134" s="646">
        <f t="shared" si="25"/>
        <v>0</v>
      </c>
      <c r="I134" s="628">
        <f t="shared" si="24"/>
        <v>0</v>
      </c>
      <c r="J134" s="505">
        <f t="shared" si="28"/>
        <v>0</v>
      </c>
      <c r="K134" s="505"/>
      <c r="L134" s="513"/>
      <c r="M134" s="505">
        <f t="shared" si="29"/>
        <v>0</v>
      </c>
      <c r="N134" s="513"/>
      <c r="O134" s="505">
        <f t="shared" si="30"/>
        <v>0</v>
      </c>
      <c r="P134" s="505">
        <f t="shared" si="31"/>
        <v>0</v>
      </c>
    </row>
    <row r="135" spans="2:16" ht="12.5">
      <c r="B135" s="145" t="str">
        <f t="shared" si="16"/>
        <v/>
      </c>
      <c r="C135" s="496">
        <f>IF(D94="","-",+C134+1)</f>
        <v>2052</v>
      </c>
      <c r="D135" s="350">
        <f>IF(F134+SUM(E$100:E134)=D$93,F134,D$93-SUM(E$100:E134))</f>
        <v>0</v>
      </c>
      <c r="E135" s="510">
        <f t="shared" si="32"/>
        <v>0</v>
      </c>
      <c r="F135" s="511">
        <f t="shared" si="26"/>
        <v>0</v>
      </c>
      <c r="G135" s="511">
        <f t="shared" si="27"/>
        <v>0</v>
      </c>
      <c r="H135" s="646">
        <f t="shared" si="25"/>
        <v>0</v>
      </c>
      <c r="I135" s="628">
        <f t="shared" si="24"/>
        <v>0</v>
      </c>
      <c r="J135" s="505">
        <f t="shared" si="28"/>
        <v>0</v>
      </c>
      <c r="K135" s="505"/>
      <c r="L135" s="513"/>
      <c r="M135" s="505">
        <f t="shared" si="29"/>
        <v>0</v>
      </c>
      <c r="N135" s="513"/>
      <c r="O135" s="505">
        <f t="shared" si="30"/>
        <v>0</v>
      </c>
      <c r="P135" s="505">
        <f t="shared" si="31"/>
        <v>0</v>
      </c>
    </row>
    <row r="136" spans="2:16" ht="12.5">
      <c r="B136" s="145" t="str">
        <f t="shared" si="16"/>
        <v/>
      </c>
      <c r="C136" s="496">
        <f>IF(D94="","-",+C135+1)</f>
        <v>2053</v>
      </c>
      <c r="D136" s="350">
        <f>IF(F135+SUM(E$100:E135)=D$93,F135,D$93-SUM(E$100:E135))</f>
        <v>0</v>
      </c>
      <c r="E136" s="510">
        <f t="shared" si="32"/>
        <v>0</v>
      </c>
      <c r="F136" s="511">
        <f t="shared" si="26"/>
        <v>0</v>
      </c>
      <c r="G136" s="511">
        <f t="shared" si="27"/>
        <v>0</v>
      </c>
      <c r="H136" s="646">
        <f t="shared" si="25"/>
        <v>0</v>
      </c>
      <c r="I136" s="628">
        <f t="shared" si="24"/>
        <v>0</v>
      </c>
      <c r="J136" s="505">
        <f t="shared" si="28"/>
        <v>0</v>
      </c>
      <c r="K136" s="505"/>
      <c r="L136" s="513"/>
      <c r="M136" s="505">
        <f t="shared" si="29"/>
        <v>0</v>
      </c>
      <c r="N136" s="513"/>
      <c r="O136" s="505">
        <f t="shared" si="30"/>
        <v>0</v>
      </c>
      <c r="P136" s="505">
        <f t="shared" si="31"/>
        <v>0</v>
      </c>
    </row>
    <row r="137" spans="2:16" ht="12.5">
      <c r="B137" s="145" t="str">
        <f t="shared" si="16"/>
        <v/>
      </c>
      <c r="C137" s="496">
        <f>IF(D94="","-",+C136+1)</f>
        <v>2054</v>
      </c>
      <c r="D137" s="350">
        <f>IF(F136+SUM(E$100:E136)=D$93,F136,D$93-SUM(E$100:E136))</f>
        <v>0</v>
      </c>
      <c r="E137" s="510">
        <f t="shared" si="32"/>
        <v>0</v>
      </c>
      <c r="F137" s="511">
        <f t="shared" si="26"/>
        <v>0</v>
      </c>
      <c r="G137" s="511">
        <f t="shared" si="27"/>
        <v>0</v>
      </c>
      <c r="H137" s="646">
        <f t="shared" si="25"/>
        <v>0</v>
      </c>
      <c r="I137" s="628">
        <f t="shared" si="24"/>
        <v>0</v>
      </c>
      <c r="J137" s="505">
        <f t="shared" si="28"/>
        <v>0</v>
      </c>
      <c r="K137" s="505"/>
      <c r="L137" s="513"/>
      <c r="M137" s="505">
        <f t="shared" si="29"/>
        <v>0</v>
      </c>
      <c r="N137" s="513"/>
      <c r="O137" s="505">
        <f t="shared" si="30"/>
        <v>0</v>
      </c>
      <c r="P137" s="505">
        <f t="shared" si="31"/>
        <v>0</v>
      </c>
    </row>
    <row r="138" spans="2:16" ht="12.5">
      <c r="B138" s="145" t="str">
        <f t="shared" si="16"/>
        <v/>
      </c>
      <c r="C138" s="496">
        <f>IF(D94="","-",+C137+1)</f>
        <v>2055</v>
      </c>
      <c r="D138" s="350">
        <f>IF(F137+SUM(E$100:E137)=D$93,F137,D$93-SUM(E$100:E137))</f>
        <v>0</v>
      </c>
      <c r="E138" s="510">
        <f t="shared" si="32"/>
        <v>0</v>
      </c>
      <c r="F138" s="511">
        <f t="shared" si="26"/>
        <v>0</v>
      </c>
      <c r="G138" s="511">
        <f t="shared" si="27"/>
        <v>0</v>
      </c>
      <c r="H138" s="646">
        <f t="shared" si="25"/>
        <v>0</v>
      </c>
      <c r="I138" s="628">
        <f t="shared" si="24"/>
        <v>0</v>
      </c>
      <c r="J138" s="505">
        <f t="shared" si="28"/>
        <v>0</v>
      </c>
      <c r="K138" s="505"/>
      <c r="L138" s="513"/>
      <c r="M138" s="505">
        <f t="shared" si="29"/>
        <v>0</v>
      </c>
      <c r="N138" s="513"/>
      <c r="O138" s="505">
        <f t="shared" si="30"/>
        <v>0</v>
      </c>
      <c r="P138" s="505">
        <f t="shared" si="31"/>
        <v>0</v>
      </c>
    </row>
    <row r="139" spans="2:16" ht="12.5">
      <c r="B139" s="145" t="str">
        <f t="shared" si="16"/>
        <v/>
      </c>
      <c r="C139" s="496">
        <f>IF(D94="","-",+C138+1)</f>
        <v>2056</v>
      </c>
      <c r="D139" s="350">
        <f>IF(F138+SUM(E$100:E138)=D$93,F138,D$93-SUM(E$100:E138))</f>
        <v>0</v>
      </c>
      <c r="E139" s="510">
        <f t="shared" si="32"/>
        <v>0</v>
      </c>
      <c r="F139" s="511">
        <f t="shared" si="26"/>
        <v>0</v>
      </c>
      <c r="G139" s="511">
        <f t="shared" si="27"/>
        <v>0</v>
      </c>
      <c r="H139" s="646">
        <f t="shared" si="25"/>
        <v>0</v>
      </c>
      <c r="I139" s="628">
        <f t="shared" si="24"/>
        <v>0</v>
      </c>
      <c r="J139" s="505">
        <f t="shared" si="28"/>
        <v>0</v>
      </c>
      <c r="K139" s="505"/>
      <c r="L139" s="513"/>
      <c r="M139" s="505">
        <f t="shared" si="29"/>
        <v>0</v>
      </c>
      <c r="N139" s="513"/>
      <c r="O139" s="505">
        <f t="shared" si="30"/>
        <v>0</v>
      </c>
      <c r="P139" s="505">
        <f t="shared" si="31"/>
        <v>0</v>
      </c>
    </row>
    <row r="140" spans="2:16" ht="12.5">
      <c r="B140" s="145" t="str">
        <f t="shared" si="16"/>
        <v/>
      </c>
      <c r="C140" s="496">
        <f>IF(D94="","-",+C139+1)</f>
        <v>2057</v>
      </c>
      <c r="D140" s="350">
        <f>IF(F139+SUM(E$100:E139)=D$93,F139,D$93-SUM(E$100:E139))</f>
        <v>0</v>
      </c>
      <c r="E140" s="510">
        <f t="shared" si="32"/>
        <v>0</v>
      </c>
      <c r="F140" s="511">
        <f t="shared" si="26"/>
        <v>0</v>
      </c>
      <c r="G140" s="511">
        <f t="shared" si="27"/>
        <v>0</v>
      </c>
      <c r="H140" s="646">
        <f t="shared" si="25"/>
        <v>0</v>
      </c>
      <c r="I140" s="628">
        <f t="shared" si="24"/>
        <v>0</v>
      </c>
      <c r="J140" s="505">
        <f t="shared" si="28"/>
        <v>0</v>
      </c>
      <c r="K140" s="505"/>
      <c r="L140" s="513"/>
      <c r="M140" s="505">
        <f t="shared" si="29"/>
        <v>0</v>
      </c>
      <c r="N140" s="513"/>
      <c r="O140" s="505">
        <f t="shared" si="30"/>
        <v>0</v>
      </c>
      <c r="P140" s="505">
        <f t="shared" si="31"/>
        <v>0</v>
      </c>
    </row>
    <row r="141" spans="2:16" ht="12.5">
      <c r="B141" s="145" t="str">
        <f t="shared" si="16"/>
        <v/>
      </c>
      <c r="C141" s="496">
        <f>IF(D94="","-",+C140+1)</f>
        <v>2058</v>
      </c>
      <c r="D141" s="350">
        <f>IF(F140+SUM(E$100:E140)=D$93,F140,D$93-SUM(E$100:E140))</f>
        <v>0</v>
      </c>
      <c r="E141" s="510">
        <f t="shared" si="32"/>
        <v>0</v>
      </c>
      <c r="F141" s="511">
        <f t="shared" si="26"/>
        <v>0</v>
      </c>
      <c r="G141" s="511">
        <f t="shared" si="27"/>
        <v>0</v>
      </c>
      <c r="H141" s="646">
        <f t="shared" si="25"/>
        <v>0</v>
      </c>
      <c r="I141" s="628">
        <f t="shared" si="24"/>
        <v>0</v>
      </c>
      <c r="J141" s="505">
        <f t="shared" si="28"/>
        <v>0</v>
      </c>
      <c r="K141" s="505"/>
      <c r="L141" s="513"/>
      <c r="M141" s="505">
        <f t="shared" si="29"/>
        <v>0</v>
      </c>
      <c r="N141" s="513"/>
      <c r="O141" s="505">
        <f t="shared" si="30"/>
        <v>0</v>
      </c>
      <c r="P141" s="505">
        <f t="shared" si="31"/>
        <v>0</v>
      </c>
    </row>
    <row r="142" spans="2:16" ht="12.5">
      <c r="B142" s="145" t="str">
        <f t="shared" si="16"/>
        <v/>
      </c>
      <c r="C142" s="496">
        <f>IF(D94="","-",+C141+1)</f>
        <v>2059</v>
      </c>
      <c r="D142" s="350">
        <f>IF(F141+SUM(E$100:E141)=D$93,F141,D$93-SUM(E$100:E141))</f>
        <v>0</v>
      </c>
      <c r="E142" s="510">
        <f t="shared" si="32"/>
        <v>0</v>
      </c>
      <c r="F142" s="511">
        <f t="shared" si="26"/>
        <v>0</v>
      </c>
      <c r="G142" s="511">
        <f t="shared" si="27"/>
        <v>0</v>
      </c>
      <c r="H142" s="646">
        <f t="shared" si="25"/>
        <v>0</v>
      </c>
      <c r="I142" s="628">
        <f t="shared" si="24"/>
        <v>0</v>
      </c>
      <c r="J142" s="505">
        <f t="shared" si="28"/>
        <v>0</v>
      </c>
      <c r="K142" s="505"/>
      <c r="L142" s="513"/>
      <c r="M142" s="505">
        <f t="shared" si="29"/>
        <v>0</v>
      </c>
      <c r="N142" s="513"/>
      <c r="O142" s="505">
        <f t="shared" si="30"/>
        <v>0</v>
      </c>
      <c r="P142" s="505">
        <f t="shared" si="31"/>
        <v>0</v>
      </c>
    </row>
    <row r="143" spans="2:16" ht="12.5">
      <c r="B143" s="145" t="str">
        <f t="shared" si="16"/>
        <v/>
      </c>
      <c r="C143" s="496">
        <f>IF(D94="","-",+C142+1)</f>
        <v>2060</v>
      </c>
      <c r="D143" s="350">
        <f>IF(F142+SUM(E$100:E142)=D$93,F142,D$93-SUM(E$100:E142))</f>
        <v>0</v>
      </c>
      <c r="E143" s="510">
        <f t="shared" si="32"/>
        <v>0</v>
      </c>
      <c r="F143" s="511">
        <f t="shared" si="26"/>
        <v>0</v>
      </c>
      <c r="G143" s="511">
        <f t="shared" si="27"/>
        <v>0</v>
      </c>
      <c r="H143" s="646">
        <f t="shared" si="25"/>
        <v>0</v>
      </c>
      <c r="I143" s="628">
        <f t="shared" si="24"/>
        <v>0</v>
      </c>
      <c r="J143" s="505">
        <f t="shared" si="28"/>
        <v>0</v>
      </c>
      <c r="K143" s="505"/>
      <c r="L143" s="513"/>
      <c r="M143" s="505">
        <f t="shared" si="29"/>
        <v>0</v>
      </c>
      <c r="N143" s="513"/>
      <c r="O143" s="505">
        <f t="shared" si="30"/>
        <v>0</v>
      </c>
      <c r="P143" s="505">
        <f t="shared" si="31"/>
        <v>0</v>
      </c>
    </row>
    <row r="144" spans="2:16" ht="12.5">
      <c r="B144" s="145" t="str">
        <f t="shared" si="16"/>
        <v/>
      </c>
      <c r="C144" s="496">
        <f>IF(D94="","-",+C143+1)</f>
        <v>2061</v>
      </c>
      <c r="D144" s="350">
        <f>IF(F143+SUM(E$100:E143)=D$93,F143,D$93-SUM(E$100:E143))</f>
        <v>0</v>
      </c>
      <c r="E144" s="510">
        <f t="shared" si="32"/>
        <v>0</v>
      </c>
      <c r="F144" s="511">
        <f t="shared" si="26"/>
        <v>0</v>
      </c>
      <c r="G144" s="511">
        <f t="shared" si="27"/>
        <v>0</v>
      </c>
      <c r="H144" s="646">
        <f t="shared" si="25"/>
        <v>0</v>
      </c>
      <c r="I144" s="628">
        <f t="shared" si="24"/>
        <v>0</v>
      </c>
      <c r="J144" s="505">
        <f t="shared" si="28"/>
        <v>0</v>
      </c>
      <c r="K144" s="505"/>
      <c r="L144" s="513"/>
      <c r="M144" s="505">
        <f t="shared" si="29"/>
        <v>0</v>
      </c>
      <c r="N144" s="513"/>
      <c r="O144" s="505">
        <f t="shared" si="30"/>
        <v>0</v>
      </c>
      <c r="P144" s="505">
        <f t="shared" si="31"/>
        <v>0</v>
      </c>
    </row>
    <row r="145" spans="2:16" ht="12.5">
      <c r="B145" s="145" t="str">
        <f t="shared" si="16"/>
        <v/>
      </c>
      <c r="C145" s="496">
        <f>IF(D94="","-",+C144+1)</f>
        <v>2062</v>
      </c>
      <c r="D145" s="350">
        <f>IF(F144+SUM(E$100:E144)=D$93,F144,D$93-SUM(E$100:E144))</f>
        <v>0</v>
      </c>
      <c r="E145" s="510">
        <f t="shared" si="32"/>
        <v>0</v>
      </c>
      <c r="F145" s="511">
        <f t="shared" si="26"/>
        <v>0</v>
      </c>
      <c r="G145" s="511">
        <f t="shared" si="27"/>
        <v>0</v>
      </c>
      <c r="H145" s="646">
        <f t="shared" si="25"/>
        <v>0</v>
      </c>
      <c r="I145" s="628">
        <f t="shared" si="24"/>
        <v>0</v>
      </c>
      <c r="J145" s="505">
        <f t="shared" si="28"/>
        <v>0</v>
      </c>
      <c r="K145" s="505"/>
      <c r="L145" s="513"/>
      <c r="M145" s="505">
        <f t="shared" si="29"/>
        <v>0</v>
      </c>
      <c r="N145" s="513"/>
      <c r="O145" s="505">
        <f t="shared" si="30"/>
        <v>0</v>
      </c>
      <c r="P145" s="505">
        <f t="shared" si="31"/>
        <v>0</v>
      </c>
    </row>
    <row r="146" spans="2:16" ht="12.5">
      <c r="B146" s="145" t="str">
        <f t="shared" si="16"/>
        <v/>
      </c>
      <c r="C146" s="496">
        <f>IF(D94="","-",+C145+1)</f>
        <v>2063</v>
      </c>
      <c r="D146" s="350">
        <f>IF(F145+SUM(E$100:E145)=D$93,F145,D$93-SUM(E$100:E145))</f>
        <v>0</v>
      </c>
      <c r="E146" s="510">
        <f t="shared" si="32"/>
        <v>0</v>
      </c>
      <c r="F146" s="511">
        <f t="shared" si="26"/>
        <v>0</v>
      </c>
      <c r="G146" s="511">
        <f t="shared" si="27"/>
        <v>0</v>
      </c>
      <c r="H146" s="646">
        <f t="shared" si="25"/>
        <v>0</v>
      </c>
      <c r="I146" s="628">
        <f t="shared" si="24"/>
        <v>0</v>
      </c>
      <c r="J146" s="505">
        <f t="shared" si="28"/>
        <v>0</v>
      </c>
      <c r="K146" s="505"/>
      <c r="L146" s="513"/>
      <c r="M146" s="505">
        <f t="shared" si="29"/>
        <v>0</v>
      </c>
      <c r="N146" s="513"/>
      <c r="O146" s="505">
        <f t="shared" si="30"/>
        <v>0</v>
      </c>
      <c r="P146" s="505">
        <f t="shared" si="31"/>
        <v>0</v>
      </c>
    </row>
    <row r="147" spans="2:16" ht="12.5">
      <c r="B147" s="145" t="str">
        <f t="shared" si="16"/>
        <v/>
      </c>
      <c r="C147" s="496">
        <f>IF(D94="","-",+C146+1)</f>
        <v>2064</v>
      </c>
      <c r="D147" s="350">
        <f>IF(F146+SUM(E$100:E146)=D$93,F146,D$93-SUM(E$100:E146))</f>
        <v>0</v>
      </c>
      <c r="E147" s="510">
        <f t="shared" si="32"/>
        <v>0</v>
      </c>
      <c r="F147" s="511">
        <f t="shared" si="26"/>
        <v>0</v>
      </c>
      <c r="G147" s="511">
        <f t="shared" si="27"/>
        <v>0</v>
      </c>
      <c r="H147" s="646">
        <f t="shared" si="25"/>
        <v>0</v>
      </c>
      <c r="I147" s="628">
        <f t="shared" si="24"/>
        <v>0</v>
      </c>
      <c r="J147" s="505">
        <f t="shared" si="28"/>
        <v>0</v>
      </c>
      <c r="K147" s="505"/>
      <c r="L147" s="513"/>
      <c r="M147" s="505">
        <f t="shared" si="29"/>
        <v>0</v>
      </c>
      <c r="N147" s="513"/>
      <c r="O147" s="505">
        <f t="shared" si="30"/>
        <v>0</v>
      </c>
      <c r="P147" s="505">
        <f t="shared" si="31"/>
        <v>0</v>
      </c>
    </row>
    <row r="148" spans="2:16" ht="12.5">
      <c r="B148" s="145" t="str">
        <f t="shared" si="16"/>
        <v/>
      </c>
      <c r="C148" s="496">
        <f>IF(D94="","-",+C147+1)</f>
        <v>2065</v>
      </c>
      <c r="D148" s="350">
        <f>IF(F147+SUM(E$100:E147)=D$93,F147,D$93-SUM(E$100:E147))</f>
        <v>0</v>
      </c>
      <c r="E148" s="510">
        <f t="shared" si="32"/>
        <v>0</v>
      </c>
      <c r="F148" s="511">
        <f t="shared" si="26"/>
        <v>0</v>
      </c>
      <c r="G148" s="511">
        <f t="shared" si="27"/>
        <v>0</v>
      </c>
      <c r="H148" s="646">
        <f t="shared" si="25"/>
        <v>0</v>
      </c>
      <c r="I148" s="628">
        <f t="shared" si="24"/>
        <v>0</v>
      </c>
      <c r="J148" s="505">
        <f t="shared" si="28"/>
        <v>0</v>
      </c>
      <c r="K148" s="505"/>
      <c r="L148" s="513"/>
      <c r="M148" s="505">
        <f t="shared" si="29"/>
        <v>0</v>
      </c>
      <c r="N148" s="513"/>
      <c r="O148" s="505">
        <f t="shared" si="30"/>
        <v>0</v>
      </c>
      <c r="P148" s="505">
        <f t="shared" si="31"/>
        <v>0</v>
      </c>
    </row>
    <row r="149" spans="2:16" ht="12.5">
      <c r="B149" s="145" t="str">
        <f t="shared" si="16"/>
        <v/>
      </c>
      <c r="C149" s="496">
        <f>IF(D94="","-",+C148+1)</f>
        <v>2066</v>
      </c>
      <c r="D149" s="350">
        <f>IF(F148+SUM(E$100:E148)=D$93,F148,D$93-SUM(E$100:E148))</f>
        <v>0</v>
      </c>
      <c r="E149" s="510">
        <f t="shared" si="32"/>
        <v>0</v>
      </c>
      <c r="F149" s="511">
        <f t="shared" si="26"/>
        <v>0</v>
      </c>
      <c r="G149" s="511">
        <f t="shared" si="27"/>
        <v>0</v>
      </c>
      <c r="H149" s="646">
        <f t="shared" si="25"/>
        <v>0</v>
      </c>
      <c r="I149" s="628">
        <f t="shared" si="24"/>
        <v>0</v>
      </c>
      <c r="J149" s="505">
        <f t="shared" si="28"/>
        <v>0</v>
      </c>
      <c r="K149" s="505"/>
      <c r="L149" s="513"/>
      <c r="M149" s="505">
        <f t="shared" si="29"/>
        <v>0</v>
      </c>
      <c r="N149" s="513"/>
      <c r="O149" s="505">
        <f t="shared" si="30"/>
        <v>0</v>
      </c>
      <c r="P149" s="505">
        <f t="shared" si="31"/>
        <v>0</v>
      </c>
    </row>
    <row r="150" spans="2:16" ht="12.5">
      <c r="B150" s="145" t="str">
        <f t="shared" si="16"/>
        <v/>
      </c>
      <c r="C150" s="496">
        <f>IF(D94="","-",+C149+1)</f>
        <v>2067</v>
      </c>
      <c r="D150" s="350">
        <f>IF(F149+SUM(E$100:E149)=D$93,F149,D$93-SUM(E$100:E149))</f>
        <v>0</v>
      </c>
      <c r="E150" s="510">
        <f t="shared" si="32"/>
        <v>0</v>
      </c>
      <c r="F150" s="511">
        <f t="shared" si="26"/>
        <v>0</v>
      </c>
      <c r="G150" s="511">
        <f t="shared" si="27"/>
        <v>0</v>
      </c>
      <c r="H150" s="646">
        <f t="shared" si="25"/>
        <v>0</v>
      </c>
      <c r="I150" s="628">
        <f t="shared" si="24"/>
        <v>0</v>
      </c>
      <c r="J150" s="505">
        <f t="shared" si="28"/>
        <v>0</v>
      </c>
      <c r="K150" s="505"/>
      <c r="L150" s="513"/>
      <c r="M150" s="505">
        <f t="shared" si="29"/>
        <v>0</v>
      </c>
      <c r="N150" s="513"/>
      <c r="O150" s="505">
        <f t="shared" si="30"/>
        <v>0</v>
      </c>
      <c r="P150" s="505">
        <f t="shared" si="31"/>
        <v>0</v>
      </c>
    </row>
    <row r="151" spans="2:16" ht="12.5">
      <c r="B151" s="145" t="str">
        <f t="shared" si="16"/>
        <v/>
      </c>
      <c r="C151" s="496">
        <f>IF(D94="","-",+C150+1)</f>
        <v>2068</v>
      </c>
      <c r="D151" s="350">
        <f>IF(F150+SUM(E$100:E150)=D$93,F150,D$93-SUM(E$100:E150))</f>
        <v>0</v>
      </c>
      <c r="E151" s="510">
        <f t="shared" si="32"/>
        <v>0</v>
      </c>
      <c r="F151" s="511">
        <f t="shared" si="26"/>
        <v>0</v>
      </c>
      <c r="G151" s="511">
        <f t="shared" si="27"/>
        <v>0</v>
      </c>
      <c r="H151" s="646">
        <f t="shared" si="25"/>
        <v>0</v>
      </c>
      <c r="I151" s="628">
        <f t="shared" si="24"/>
        <v>0</v>
      </c>
      <c r="J151" s="505">
        <f t="shared" si="28"/>
        <v>0</v>
      </c>
      <c r="K151" s="505"/>
      <c r="L151" s="513"/>
      <c r="M151" s="505">
        <f t="shared" si="29"/>
        <v>0</v>
      </c>
      <c r="N151" s="513"/>
      <c r="O151" s="505">
        <f t="shared" si="30"/>
        <v>0</v>
      </c>
      <c r="P151" s="505">
        <f t="shared" si="31"/>
        <v>0</v>
      </c>
    </row>
    <row r="152" spans="2:16" ht="12.5">
      <c r="B152" s="145" t="str">
        <f t="shared" si="16"/>
        <v/>
      </c>
      <c r="C152" s="496">
        <f>IF(D94="","-",+C151+1)</f>
        <v>2069</v>
      </c>
      <c r="D152" s="350">
        <f>IF(F151+SUM(E$100:E151)=D$93,F151,D$93-SUM(E$100:E151))</f>
        <v>0</v>
      </c>
      <c r="E152" s="510">
        <f t="shared" si="32"/>
        <v>0</v>
      </c>
      <c r="F152" s="511">
        <f t="shared" si="26"/>
        <v>0</v>
      </c>
      <c r="G152" s="511">
        <f t="shared" si="27"/>
        <v>0</v>
      </c>
      <c r="H152" s="646">
        <f t="shared" si="25"/>
        <v>0</v>
      </c>
      <c r="I152" s="628">
        <f t="shared" si="24"/>
        <v>0</v>
      </c>
      <c r="J152" s="505">
        <f t="shared" si="28"/>
        <v>0</v>
      </c>
      <c r="K152" s="505"/>
      <c r="L152" s="513"/>
      <c r="M152" s="505">
        <f t="shared" si="29"/>
        <v>0</v>
      </c>
      <c r="N152" s="513"/>
      <c r="O152" s="505">
        <f t="shared" si="30"/>
        <v>0</v>
      </c>
      <c r="P152" s="505">
        <f t="shared" si="31"/>
        <v>0</v>
      </c>
    </row>
    <row r="153" spans="2:16" ht="12.5">
      <c r="B153" s="145" t="str">
        <f t="shared" si="16"/>
        <v/>
      </c>
      <c r="C153" s="496">
        <f>IF(D94="","-",+C152+1)</f>
        <v>2070</v>
      </c>
      <c r="D153" s="350">
        <f>IF(F152+SUM(E$100:E152)=D$93,F152,D$93-SUM(E$100:E152))</f>
        <v>0</v>
      </c>
      <c r="E153" s="510">
        <f t="shared" si="32"/>
        <v>0</v>
      </c>
      <c r="F153" s="511">
        <f t="shared" si="26"/>
        <v>0</v>
      </c>
      <c r="G153" s="511">
        <f t="shared" si="27"/>
        <v>0</v>
      </c>
      <c r="H153" s="646">
        <f t="shared" si="25"/>
        <v>0</v>
      </c>
      <c r="I153" s="628">
        <f t="shared" si="24"/>
        <v>0</v>
      </c>
      <c r="J153" s="505">
        <f t="shared" si="28"/>
        <v>0</v>
      </c>
      <c r="K153" s="505"/>
      <c r="L153" s="513"/>
      <c r="M153" s="505">
        <f t="shared" si="29"/>
        <v>0</v>
      </c>
      <c r="N153" s="513"/>
      <c r="O153" s="505">
        <f t="shared" si="30"/>
        <v>0</v>
      </c>
      <c r="P153" s="505">
        <f t="shared" si="31"/>
        <v>0</v>
      </c>
    </row>
    <row r="154" spans="2:16" ht="12.5">
      <c r="B154" s="145" t="str">
        <f t="shared" si="16"/>
        <v/>
      </c>
      <c r="C154" s="496">
        <f>IF(D94="","-",+C153+1)</f>
        <v>2071</v>
      </c>
      <c r="D154" s="350">
        <f>IF(F153+SUM(E$100:E153)=D$93,F153,D$93-SUM(E$100:E153))</f>
        <v>0</v>
      </c>
      <c r="E154" s="510">
        <f t="shared" si="32"/>
        <v>0</v>
      </c>
      <c r="F154" s="511">
        <f t="shared" si="26"/>
        <v>0</v>
      </c>
      <c r="G154" s="511">
        <f t="shared" si="27"/>
        <v>0</v>
      </c>
      <c r="H154" s="646">
        <f t="shared" si="25"/>
        <v>0</v>
      </c>
      <c r="I154" s="628">
        <f t="shared" si="24"/>
        <v>0</v>
      </c>
      <c r="J154" s="505">
        <f t="shared" si="28"/>
        <v>0</v>
      </c>
      <c r="K154" s="505"/>
      <c r="L154" s="513"/>
      <c r="M154" s="505">
        <f t="shared" si="29"/>
        <v>0</v>
      </c>
      <c r="N154" s="513"/>
      <c r="O154" s="505">
        <f t="shared" si="30"/>
        <v>0</v>
      </c>
      <c r="P154" s="505">
        <f t="shared" si="31"/>
        <v>0</v>
      </c>
    </row>
    <row r="155" spans="2:16" ht="13" thickBot="1">
      <c r="B155" s="145" t="str">
        <f t="shared" si="16"/>
        <v/>
      </c>
      <c r="C155" s="525">
        <f>IF(D94="","-",+C154+1)</f>
        <v>2072</v>
      </c>
      <c r="D155" s="636">
        <f>IF(F154+SUM(E$100:E154)=D$93,F154,D$93-SUM(E$100:E154))</f>
        <v>0</v>
      </c>
      <c r="E155" s="527">
        <f t="shared" si="32"/>
        <v>0</v>
      </c>
      <c r="F155" s="528">
        <f t="shared" si="26"/>
        <v>0</v>
      </c>
      <c r="G155" s="528">
        <f t="shared" si="27"/>
        <v>0</v>
      </c>
      <c r="H155" s="646">
        <f t="shared" si="25"/>
        <v>0</v>
      </c>
      <c r="I155" s="624">
        <f t="shared" si="24"/>
        <v>0</v>
      </c>
      <c r="J155" s="532">
        <f t="shared" si="28"/>
        <v>0</v>
      </c>
      <c r="K155" s="505"/>
      <c r="L155" s="531"/>
      <c r="M155" s="532">
        <f t="shared" si="29"/>
        <v>0</v>
      </c>
      <c r="N155" s="531"/>
      <c r="O155" s="532">
        <f t="shared" si="30"/>
        <v>0</v>
      </c>
      <c r="P155" s="532">
        <f t="shared" si="31"/>
        <v>0</v>
      </c>
    </row>
    <row r="156" spans="2:16" ht="12.5">
      <c r="C156" s="350" t="s">
        <v>75</v>
      </c>
      <c r="D156" s="295"/>
      <c r="E156" s="295">
        <f>SUM(E100:E155)</f>
        <v>9662739.9999999981</v>
      </c>
      <c r="F156" s="295"/>
      <c r="G156" s="295"/>
      <c r="H156" s="295">
        <f>SUM(H100:H155)</f>
        <v>24739867.129951008</v>
      </c>
      <c r="I156" s="295">
        <f>SUM(I100:I155)</f>
        <v>24739867.129951008</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U133"/>
  <sheetViews>
    <sheetView tabSelected="1" topLeftCell="F118" zoomScale="80" zoomScaleNormal="80" zoomScaleSheetLayoutView="90" workbookViewId="0">
      <selection activeCell="A5" sqref="A5"/>
    </sheetView>
  </sheetViews>
  <sheetFormatPr defaultColWidth="8.7265625" defaultRowHeight="12.75" customHeight="1"/>
  <cols>
    <col min="1" max="1" width="8.1796875" style="145" customWidth="1"/>
    <col min="2" max="2" width="6.7265625" style="145" customWidth="1"/>
    <col min="3" max="3" width="23.26953125" style="145" customWidth="1"/>
    <col min="4" max="8" width="17.7265625" style="145" customWidth="1"/>
    <col min="9" max="9" width="16.1796875" style="145" customWidth="1"/>
    <col min="10" max="10" width="2.1796875" style="145" customWidth="1"/>
    <col min="11" max="11" width="17.7265625" style="145" customWidth="1"/>
    <col min="12" max="12" width="16.1796875" style="145" customWidth="1"/>
    <col min="13" max="13" width="17.7265625" style="145" customWidth="1"/>
    <col min="14" max="14" width="16.7265625" style="145" customWidth="1"/>
    <col min="15" max="15" width="22.453125" style="145" customWidth="1"/>
    <col min="16" max="16" width="3.54296875" style="145" bestFit="1" customWidth="1"/>
    <col min="17" max="17" width="4.7265625" style="145" customWidth="1"/>
    <col min="18" max="18" width="15.453125" style="145" customWidth="1"/>
    <col min="19" max="19" width="81.81640625" style="145" bestFit="1" customWidth="1"/>
    <col min="20" max="22" width="8.7265625" style="145"/>
    <col min="23" max="23" width="9.1796875" style="145" customWidth="1"/>
    <col min="24" max="16384" width="8.7265625" style="145"/>
  </cols>
  <sheetData>
    <row r="1" spans="1:21" ht="17.5">
      <c r="A1" s="662" t="s">
        <v>109</v>
      </c>
      <c r="B1" s="663"/>
      <c r="C1" s="663"/>
      <c r="D1" s="663"/>
      <c r="E1" s="663"/>
      <c r="F1" s="663"/>
      <c r="G1" s="663"/>
      <c r="H1" s="663"/>
      <c r="I1" s="663"/>
      <c r="J1" s="663"/>
      <c r="U1" s="145">
        <v>2017</v>
      </c>
    </row>
    <row r="2" spans="1:21" ht="17.5">
      <c r="A2" s="665" t="str">
        <f>L19&amp;" Cost of Service Formula Rate Projected on "&amp;L19-1&amp;" FF1 Balances"</f>
        <v>2020 Cost of Service Formula Rate Projected on 2019 FF1 Balances</v>
      </c>
      <c r="B2" s="665"/>
      <c r="C2" s="665"/>
      <c r="D2" s="665"/>
      <c r="E2" s="665"/>
      <c r="F2" s="665"/>
      <c r="G2" s="665"/>
      <c r="H2" s="665"/>
      <c r="I2" s="665"/>
      <c r="J2" s="665"/>
    </row>
    <row r="3" spans="1:21" ht="18">
      <c r="A3" s="664" t="s">
        <v>124</v>
      </c>
      <c r="B3" s="665"/>
      <c r="C3" s="665"/>
      <c r="D3" s="665"/>
      <c r="E3" s="665"/>
      <c r="F3" s="665"/>
      <c r="G3" s="665"/>
      <c r="H3" s="665"/>
      <c r="I3" s="665"/>
      <c r="J3" s="665"/>
      <c r="Q3" s="233" t="s">
        <v>110</v>
      </c>
    </row>
    <row r="4" spans="1:21" ht="17.5">
      <c r="A4" s="665" t="str">
        <f>"Based on a Carrying Charge Derived from ""Historic"" "&amp;L19-1&amp;" Data"</f>
        <v>Based on a Carrying Charge Derived from "Historic" 2019 Data</v>
      </c>
      <c r="B4" s="665"/>
      <c r="C4" s="665"/>
      <c r="D4" s="665"/>
      <c r="E4" s="665"/>
      <c r="F4" s="665"/>
      <c r="G4" s="665"/>
      <c r="H4" s="665"/>
      <c r="I4" s="665"/>
      <c r="J4" s="665"/>
      <c r="K4" s="665"/>
    </row>
    <row r="5" spans="1:21" ht="18">
      <c r="A5" s="666" t="s">
        <v>188</v>
      </c>
      <c r="B5" s="666"/>
      <c r="C5" s="666"/>
      <c r="D5" s="666"/>
      <c r="E5" s="666"/>
      <c r="F5" s="666"/>
      <c r="G5" s="666"/>
      <c r="H5" s="666"/>
      <c r="I5" s="666"/>
      <c r="J5" s="666"/>
    </row>
    <row r="6" spans="1:21" ht="18">
      <c r="A6" s="151"/>
      <c r="B6" s="151"/>
      <c r="C6" s="151"/>
      <c r="D6" s="151"/>
      <c r="E6" s="151"/>
      <c r="F6" s="151"/>
      <c r="G6" s="151"/>
      <c r="H6" s="151"/>
      <c r="I6" s="151"/>
      <c r="J6" s="151"/>
    </row>
    <row r="7" spans="1:21" ht="12.5">
      <c r="D7" s="157"/>
      <c r="H7" s="213"/>
      <c r="J7" s="221"/>
    </row>
    <row r="8" spans="1:21" ht="33.75" customHeight="1">
      <c r="B8" s="234" t="s">
        <v>0</v>
      </c>
      <c r="C8" s="659" t="str">
        <f>"Calculate Return and Income Taxes with "&amp;F13&amp;" basis point ROE increase for Projects Qualified for Incentive."</f>
        <v>Calculate Return and Income Taxes with 0 basis point ROE increase for Projects Qualified for Incentive.</v>
      </c>
      <c r="D8" s="660"/>
      <c r="E8" s="660"/>
      <c r="F8" s="660"/>
      <c r="G8" s="660"/>
      <c r="H8" s="660"/>
      <c r="J8" s="221"/>
      <c r="R8" s="235"/>
    </row>
    <row r="9" spans="1:21" ht="12.5">
      <c r="D9" s="157"/>
      <c r="H9" s="213"/>
      <c r="J9" s="221"/>
    </row>
    <row r="10" spans="1:21" ht="15.5">
      <c r="C10" s="236" t="str">
        <f>"A.   Determine 'R' with hypothetical "&amp;F13&amp;" basis point increase in ROE for Identified Projects"</f>
        <v>A.   Determine 'R' with hypothetical 0 basis point increase in ROE for Identified Projects</v>
      </c>
      <c r="D10" s="157"/>
      <c r="H10" s="213"/>
      <c r="J10" s="221"/>
    </row>
    <row r="11" spans="1:21" ht="12.5">
      <c r="D11" s="157"/>
      <c r="H11" s="213"/>
      <c r="J11" s="221"/>
    </row>
    <row r="12" spans="1:21" ht="12.5">
      <c r="C12" s="237" t="str">
        <f>S101</f>
        <v xml:space="preserve">   ROE w/o incentives  (TCOS, ln 143)</v>
      </c>
      <c r="D12" s="157"/>
      <c r="E12" s="238"/>
      <c r="F12" s="239">
        <f>+R101</f>
        <v>0.105</v>
      </c>
      <c r="G12" s="240"/>
      <c r="H12" s="241"/>
      <c r="I12" s="242"/>
      <c r="J12" s="243"/>
      <c r="K12" s="242"/>
      <c r="L12" s="242"/>
      <c r="M12" s="242"/>
      <c r="N12" s="242"/>
      <c r="O12" s="238"/>
      <c r="P12" s="242"/>
      <c r="Q12" s="244"/>
      <c r="U12" s="245"/>
    </row>
    <row r="13" spans="1:21" ht="12.5">
      <c r="C13" s="237" t="s">
        <v>1</v>
      </c>
      <c r="D13" s="157"/>
      <c r="E13" s="238"/>
      <c r="F13" s="246">
        <f>+R102</f>
        <v>0</v>
      </c>
      <c r="G13" s="145" t="s">
        <v>133</v>
      </c>
      <c r="K13" s="242"/>
      <c r="L13" s="242"/>
      <c r="M13" s="242"/>
      <c r="N13" s="242"/>
      <c r="O13" s="238"/>
      <c r="P13" s="242"/>
      <c r="Q13" s="244"/>
      <c r="U13" s="245"/>
    </row>
    <row r="14" spans="1:21" ht="13.5" thickBot="1">
      <c r="C14" s="237" t="str">
        <f>"   ROE with additional "&amp;F13&amp;" basis point incentive"</f>
        <v xml:space="preserve">   ROE with additional 0 basis point incentive</v>
      </c>
      <c r="D14" s="238"/>
      <c r="E14" s="238"/>
      <c r="F14" s="247">
        <f>IF((F12+(F13/10000)&gt;0.1245),"ERROR",F12+(F13/10000))</f>
        <v>0.105</v>
      </c>
      <c r="G14" s="248" t="s">
        <v>2</v>
      </c>
      <c r="H14" s="242"/>
      <c r="I14" s="242"/>
      <c r="J14" s="243"/>
      <c r="K14" s="242"/>
      <c r="L14" s="242"/>
      <c r="M14" s="242"/>
      <c r="N14" s="242"/>
      <c r="O14" s="238"/>
      <c r="P14" s="242"/>
      <c r="Q14" s="244"/>
      <c r="U14" s="249"/>
    </row>
    <row r="15" spans="1:21" ht="12.5">
      <c r="C15" s="237" t="s">
        <v>3</v>
      </c>
      <c r="D15" s="157"/>
      <c r="E15" s="238"/>
      <c r="F15" s="247"/>
      <c r="G15" s="238"/>
      <c r="H15" s="242"/>
      <c r="I15" s="242"/>
      <c r="J15" s="243"/>
      <c r="K15" s="653" t="s">
        <v>4</v>
      </c>
      <c r="L15" s="654"/>
      <c r="M15" s="654"/>
      <c r="N15" s="654"/>
      <c r="O15" s="655"/>
      <c r="P15" s="242"/>
      <c r="Q15" s="244"/>
      <c r="U15" s="249"/>
    </row>
    <row r="16" spans="1:21" ht="12.5">
      <c r="C16" s="243"/>
      <c r="D16" s="250" t="s">
        <v>5</v>
      </c>
      <c r="E16" s="250" t="s">
        <v>6</v>
      </c>
      <c r="F16" s="251" t="s">
        <v>7</v>
      </c>
      <c r="G16" s="238"/>
      <c r="H16" s="242"/>
      <c r="I16" s="242"/>
      <c r="J16" s="243"/>
      <c r="K16" s="656"/>
      <c r="L16" s="657"/>
      <c r="M16" s="657"/>
      <c r="N16" s="657"/>
      <c r="O16" s="658"/>
      <c r="P16" s="242"/>
      <c r="Q16" s="244"/>
    </row>
    <row r="17" spans="3:21" ht="12.5">
      <c r="C17" s="252" t="s">
        <v>8</v>
      </c>
      <c r="D17" s="253">
        <f>+R103</f>
        <v>0.46050615614234741</v>
      </c>
      <c r="E17" s="254">
        <f>+R104</f>
        <v>4.1187278923387416E-2</v>
      </c>
      <c r="F17" s="255">
        <f>E17*D17</f>
        <v>1.8966995498971861E-2</v>
      </c>
      <c r="G17" s="238"/>
      <c r="H17" s="242"/>
      <c r="I17" s="256"/>
      <c r="J17" s="257"/>
      <c r="K17" s="258"/>
      <c r="L17" s="259"/>
      <c r="M17" s="243" t="s">
        <v>9</v>
      </c>
      <c r="N17" s="243" t="s">
        <v>10</v>
      </c>
      <c r="O17" s="260" t="s">
        <v>11</v>
      </c>
      <c r="P17" s="242"/>
      <c r="Q17" s="244"/>
      <c r="U17" s="242"/>
    </row>
    <row r="18" spans="3:21" ht="12.5">
      <c r="C18" s="252" t="s">
        <v>12</v>
      </c>
      <c r="D18" s="253">
        <f>+R105</f>
        <v>0</v>
      </c>
      <c r="E18" s="254">
        <f>+R106</f>
        <v>0</v>
      </c>
      <c r="F18" s="255">
        <f>E18*D18</f>
        <v>0</v>
      </c>
      <c r="G18" s="261"/>
      <c r="H18" s="261"/>
      <c r="I18" s="262"/>
      <c r="J18" s="263"/>
      <c r="K18" s="264"/>
      <c r="L18" s="221"/>
      <c r="M18" s="221"/>
      <c r="N18" s="221"/>
      <c r="O18" s="265"/>
      <c r="P18" s="261"/>
      <c r="Q18" s="244"/>
      <c r="U18" s="249"/>
    </row>
    <row r="19" spans="3:21" ht="13" thickBot="1">
      <c r="C19" s="266" t="s">
        <v>13</v>
      </c>
      <c r="D19" s="253">
        <f>+R107</f>
        <v>0.53949384385765264</v>
      </c>
      <c r="E19" s="254">
        <f>+F14</f>
        <v>0.105</v>
      </c>
      <c r="F19" s="267">
        <f>E19*D19</f>
        <v>5.6646853605053525E-2</v>
      </c>
      <c r="G19" s="261"/>
      <c r="H19" s="261"/>
      <c r="I19" s="247"/>
      <c r="J19" s="263"/>
      <c r="K19" s="268" t="s">
        <v>14</v>
      </c>
      <c r="L19" s="269">
        <v>2020</v>
      </c>
      <c r="M19" s="270">
        <f>SUM('OKT.001:OKT.xyz - blank'!N5)</f>
        <v>37932547.547416419</v>
      </c>
      <c r="N19" s="270">
        <f>SUM('OKT.001:OKT.xyz - blank'!N6)</f>
        <v>37932547.547416419</v>
      </c>
      <c r="O19" s="271">
        <f>+N19-M19</f>
        <v>0</v>
      </c>
      <c r="P19" s="262"/>
      <c r="Q19" s="244"/>
      <c r="U19" s="249"/>
    </row>
    <row r="20" spans="3:21" ht="12.5">
      <c r="C20" s="237"/>
      <c r="D20" s="238"/>
      <c r="E20" s="272" t="s">
        <v>15</v>
      </c>
      <c r="F20" s="255">
        <f>SUM(F17:F19)</f>
        <v>7.5613849104025382E-2</v>
      </c>
      <c r="G20" s="261"/>
      <c r="H20" s="261"/>
      <c r="I20" s="262"/>
      <c r="J20" s="263"/>
      <c r="M20" s="273" t="str">
        <f>IF(M19=SUM('OKT.001:OKT.xyz - blank'!N5),"","ERROR")</f>
        <v/>
      </c>
      <c r="N20" s="273" t="str">
        <f>IF(N19=SUM('OKT.001:OKT.xyz - blank'!N6),"","ERROR")</f>
        <v/>
      </c>
      <c r="O20" s="273" t="str">
        <f>IF(O19=SUM('OKT.001:OKT.xyz - blank'!N7),"","ERROR")</f>
        <v/>
      </c>
      <c r="P20" s="261"/>
      <c r="Q20" s="244"/>
      <c r="U20" s="249"/>
    </row>
    <row r="21" spans="3:21" ht="13">
      <c r="D21" s="274"/>
      <c r="E21" s="274"/>
      <c r="F21" s="261"/>
      <c r="G21" s="261"/>
      <c r="H21" s="261"/>
      <c r="I21" s="261"/>
      <c r="J21" s="275"/>
      <c r="K21" s="175" t="s">
        <v>16</v>
      </c>
      <c r="P21" s="261"/>
      <c r="Q21" s="244"/>
      <c r="U21" s="249"/>
    </row>
    <row r="22" spans="3:21" ht="15.5">
      <c r="C22" s="236" t="str">
        <f>"B.   Determine Return using 'R' with hypothetical "&amp;F13&amp;" basis point ROE increase for Identified Projects."</f>
        <v>B.   Determine Return using 'R' with hypothetical 0 basis point ROE increase for Identified Projects.</v>
      </c>
      <c r="D22" s="274"/>
      <c r="E22" s="274"/>
      <c r="F22" s="276"/>
      <c r="G22" s="261"/>
      <c r="H22" s="238"/>
      <c r="I22" s="261"/>
      <c r="J22" s="275"/>
      <c r="K22" s="145" t="s">
        <v>17</v>
      </c>
      <c r="P22" s="261"/>
      <c r="Q22" s="244"/>
      <c r="U22" s="249"/>
    </row>
    <row r="23" spans="3:21" ht="12.5">
      <c r="C23" s="243"/>
      <c r="D23" s="274"/>
      <c r="E23" s="274"/>
      <c r="F23" s="275"/>
      <c r="G23" s="275"/>
      <c r="H23" s="275"/>
      <c r="I23" s="275"/>
      <c r="J23" s="275"/>
      <c r="K23" s="262"/>
      <c r="L23" s="277"/>
      <c r="M23" s="278"/>
      <c r="N23" s="262"/>
      <c r="O23" s="261"/>
      <c r="P23" s="275"/>
      <c r="Q23" s="279"/>
      <c r="U23" s="249"/>
    </row>
    <row r="24" spans="3:21" ht="12.5">
      <c r="C24" s="237" t="str">
        <f>+S108</f>
        <v xml:space="preserve">   Rate Base  (TCOS, ln 63)</v>
      </c>
      <c r="D24" s="238"/>
      <c r="E24" s="280">
        <f>+R108</f>
        <v>795428152.53506243</v>
      </c>
      <c r="F24" s="281"/>
      <c r="G24" s="275"/>
      <c r="H24" s="275"/>
      <c r="I24" s="275"/>
      <c r="J24" s="275"/>
      <c r="K24" s="275"/>
      <c r="L24" s="275"/>
      <c r="M24" s="275"/>
      <c r="N24" s="275"/>
      <c r="O24" s="275"/>
      <c r="P24" s="281"/>
      <c r="Q24" s="279"/>
      <c r="U24" s="249"/>
    </row>
    <row r="25" spans="3:21" ht="12.5">
      <c r="C25" s="243" t="s">
        <v>18</v>
      </c>
      <c r="D25" s="240"/>
      <c r="E25" s="282">
        <f>F20</f>
        <v>7.5613849104025382E-2</v>
      </c>
      <c r="F25" s="275"/>
      <c r="G25" s="275"/>
      <c r="H25" s="275"/>
      <c r="I25" s="275"/>
      <c r="J25" s="275"/>
      <c r="K25" s="275"/>
      <c r="L25" s="275"/>
      <c r="M25" s="283"/>
      <c r="N25" s="275"/>
      <c r="O25" s="275"/>
      <c r="P25" s="275"/>
      <c r="Q25" s="279"/>
      <c r="U25" s="249"/>
    </row>
    <row r="26" spans="3:21" ht="12.5">
      <c r="C26" s="284" t="s">
        <v>19</v>
      </c>
      <c r="D26" s="284"/>
      <c r="E26" s="262">
        <f>E24*E25</f>
        <v>60145384.298879899</v>
      </c>
      <c r="F26" s="275"/>
      <c r="G26" s="275"/>
      <c r="H26" s="275"/>
      <c r="I26" s="263"/>
      <c r="J26" s="263"/>
      <c r="K26" s="263"/>
      <c r="L26" s="263"/>
      <c r="M26" s="263"/>
      <c r="N26" s="263"/>
      <c r="O26" s="275"/>
      <c r="P26" s="275"/>
      <c r="Q26" s="279"/>
      <c r="U26" s="249"/>
    </row>
    <row r="27" spans="3:21" ht="12.5">
      <c r="C27" s="285"/>
      <c r="D27" s="242"/>
      <c r="E27" s="242"/>
      <c r="F27" s="275"/>
      <c r="G27" s="275"/>
      <c r="H27" s="275"/>
      <c r="I27" s="263"/>
      <c r="J27" s="263"/>
      <c r="K27" s="263"/>
      <c r="L27" s="263"/>
      <c r="M27" s="263"/>
      <c r="N27" s="263"/>
      <c r="O27" s="275"/>
      <c r="P27" s="275"/>
      <c r="Q27" s="279"/>
      <c r="U27" s="249"/>
    </row>
    <row r="28" spans="3:21"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8"/>
      <c r="J28" s="288"/>
      <c r="K28" s="288"/>
      <c r="L28" s="288"/>
      <c r="M28" s="288"/>
      <c r="N28" s="288"/>
      <c r="O28" s="287"/>
      <c r="P28" s="287"/>
      <c r="Q28" s="279"/>
      <c r="U28" s="249"/>
    </row>
    <row r="29" spans="3:21" ht="13">
      <c r="C29" s="237"/>
      <c r="D29" s="242"/>
      <c r="E29" s="242"/>
      <c r="F29" s="275"/>
      <c r="G29" s="275"/>
      <c r="H29" s="275"/>
      <c r="I29" s="263"/>
      <c r="J29" s="263"/>
      <c r="K29" s="263"/>
      <c r="L29" s="263"/>
      <c r="M29" s="263"/>
      <c r="N29" s="263"/>
      <c r="O29" s="275"/>
      <c r="P29" s="275"/>
      <c r="Q29" s="279"/>
      <c r="U29" s="289"/>
    </row>
    <row r="30" spans="3:21" ht="12.5">
      <c r="C30" s="243" t="s">
        <v>20</v>
      </c>
      <c r="D30" s="290"/>
      <c r="E30" s="291">
        <f>E26</f>
        <v>60145384.298879899</v>
      </c>
      <c r="F30" s="275"/>
      <c r="G30" s="275"/>
      <c r="H30" s="275"/>
      <c r="I30" s="275"/>
      <c r="J30" s="275"/>
      <c r="K30" s="275"/>
      <c r="L30" s="275"/>
      <c r="M30" s="275"/>
      <c r="N30" s="275"/>
      <c r="O30" s="275"/>
      <c r="P30" s="275"/>
      <c r="Q30" s="279"/>
      <c r="U30" s="249"/>
    </row>
    <row r="31" spans="3:21" ht="12.5">
      <c r="C31" s="237" t="str">
        <f>+S109</f>
        <v xml:space="preserve">   Tax Rate  (TCOS, ln 99)</v>
      </c>
      <c r="D31" s="290"/>
      <c r="E31" s="292">
        <f>+R109</f>
        <v>0.254714</v>
      </c>
      <c r="F31" s="275"/>
      <c r="G31" s="275"/>
      <c r="H31" s="275"/>
      <c r="I31" s="275"/>
      <c r="J31" s="275"/>
      <c r="K31" s="275"/>
      <c r="L31" s="275"/>
      <c r="M31" s="275"/>
      <c r="N31" s="275"/>
      <c r="O31" s="275"/>
      <c r="P31" s="275"/>
      <c r="Q31" s="279"/>
      <c r="R31" s="221"/>
      <c r="S31" s="221"/>
      <c r="T31" s="221"/>
      <c r="U31" s="249"/>
    </row>
    <row r="32" spans="3:21" ht="12.5">
      <c r="C32" s="243" t="s">
        <v>21</v>
      </c>
      <c r="D32" s="293"/>
      <c r="E32" s="247">
        <f>IF(F17&gt;0,($E31/(1-$E31))*(1-$F17/$F20),0)</f>
        <v>0.2560379250207292</v>
      </c>
      <c r="F32" s="279"/>
      <c r="G32" s="294"/>
      <c r="H32" s="295"/>
      <c r="I32" s="279"/>
      <c r="J32" s="279"/>
      <c r="K32" s="279"/>
      <c r="L32" s="279"/>
      <c r="M32" s="279"/>
      <c r="N32" s="279"/>
      <c r="O32" s="279"/>
      <c r="P32" s="279"/>
      <c r="Q32" s="279"/>
      <c r="R32" s="221"/>
      <c r="S32" s="221"/>
      <c r="T32" s="221"/>
      <c r="U32" s="249"/>
    </row>
    <row r="33" spans="2:21" ht="12.5">
      <c r="C33" s="296" t="s">
        <v>22</v>
      </c>
      <c r="D33" s="297"/>
      <c r="E33" s="298">
        <f>E30*E32</f>
        <v>15399499.395459555</v>
      </c>
      <c r="F33" s="299"/>
      <c r="G33" s="279"/>
      <c r="H33" s="295"/>
      <c r="I33" s="279"/>
      <c r="J33" s="279"/>
      <c r="K33" s="279"/>
      <c r="L33" s="279"/>
      <c r="M33" s="279"/>
      <c r="N33" s="279"/>
      <c r="O33" s="279"/>
      <c r="P33" s="279"/>
      <c r="Q33" s="279"/>
      <c r="R33" s="221"/>
      <c r="S33" s="221"/>
      <c r="T33" s="221"/>
      <c r="U33" s="300"/>
    </row>
    <row r="34" spans="2:21" ht="15.5">
      <c r="C34" s="237" t="str">
        <f>+S110</f>
        <v xml:space="preserve">   ITC Adjustment  (TCOS, ln 108)</v>
      </c>
      <c r="D34" s="301"/>
      <c r="E34" s="302">
        <f>+R110</f>
        <v>0</v>
      </c>
      <c r="F34" s="301"/>
      <c r="G34" s="301"/>
      <c r="H34" s="301"/>
      <c r="I34" s="301"/>
      <c r="J34" s="301"/>
      <c r="K34" s="301"/>
      <c r="L34" s="301"/>
      <c r="M34" s="301"/>
      <c r="N34" s="301"/>
      <c r="O34" s="301"/>
      <c r="P34" s="303"/>
      <c r="Q34" s="301"/>
      <c r="R34" s="221"/>
      <c r="S34" s="221"/>
      <c r="T34" s="221"/>
      <c r="U34" s="289"/>
    </row>
    <row r="35" spans="2:21" ht="15.5">
      <c r="C35" s="285" t="s">
        <v>23</v>
      </c>
      <c r="D35" s="301"/>
      <c r="E35" s="302">
        <f>E33+E34</f>
        <v>15399499.395459555</v>
      </c>
      <c r="F35" s="301"/>
      <c r="G35" s="301"/>
      <c r="H35" s="301"/>
      <c r="I35" s="301"/>
      <c r="J35" s="301"/>
      <c r="K35" s="301"/>
      <c r="L35" s="301"/>
      <c r="M35" s="301"/>
      <c r="N35" s="301"/>
      <c r="O35" s="301"/>
      <c r="P35" s="304"/>
      <c r="Q35" s="301"/>
      <c r="U35" s="244"/>
    </row>
    <row r="36" spans="2:21" ht="12.75" customHeight="1">
      <c r="C36" s="305"/>
      <c r="D36" s="301"/>
      <c r="E36" s="301"/>
      <c r="F36" s="301"/>
      <c r="G36" s="301"/>
      <c r="H36" s="301"/>
      <c r="I36" s="301"/>
      <c r="J36" s="301"/>
      <c r="K36" s="301"/>
      <c r="L36" s="301"/>
      <c r="M36" s="301"/>
      <c r="N36" s="301"/>
      <c r="O36" s="301"/>
      <c r="P36" s="304"/>
      <c r="Q36" s="301"/>
      <c r="R36" s="244"/>
      <c r="S36" s="244"/>
      <c r="T36" s="244"/>
      <c r="U36" s="244"/>
    </row>
    <row r="37" spans="2:21" ht="18">
      <c r="B37" s="234" t="s">
        <v>24</v>
      </c>
      <c r="C37" s="306" t="str">
        <f>"Calculate Net Plant Carrying Charge Rate (Fixed Charge Rate or FCR) with hypothetical "&amp;F13&amp;" basis point"</f>
        <v>Calculate Net Plant Carrying Charge Rate (Fixed Charge Rate or FCR) with hypothetical 0 basis point</v>
      </c>
      <c r="D37" s="301"/>
      <c r="E37" s="301"/>
      <c r="F37" s="301"/>
      <c r="G37" s="301"/>
      <c r="H37" s="301"/>
      <c r="I37" s="301"/>
      <c r="J37" s="301"/>
      <c r="K37" s="301"/>
      <c r="L37" s="301"/>
      <c r="M37" s="301"/>
      <c r="N37" s="301"/>
      <c r="O37" s="301"/>
      <c r="P37" s="304"/>
      <c r="Q37" s="301"/>
      <c r="R37" s="244"/>
      <c r="S37" s="244"/>
      <c r="T37" s="244"/>
      <c r="U37" s="244"/>
    </row>
    <row r="38" spans="2:21" ht="15.75" customHeight="1">
      <c r="B38" s="234"/>
      <c r="C38" s="306" t="str">
        <f>"ROE increase."</f>
        <v>ROE increase.</v>
      </c>
      <c r="D38" s="301"/>
      <c r="E38" s="301"/>
      <c r="F38" s="301"/>
      <c r="G38" s="301"/>
      <c r="H38" s="301"/>
      <c r="I38" s="301"/>
      <c r="J38" s="301"/>
      <c r="K38" s="301"/>
      <c r="L38" s="301"/>
      <c r="M38" s="301"/>
      <c r="N38" s="301"/>
      <c r="O38" s="301"/>
      <c r="P38" s="304"/>
      <c r="Q38" s="301"/>
      <c r="R38" s="244"/>
      <c r="S38" s="244"/>
      <c r="T38" s="244"/>
      <c r="U38" s="244"/>
    </row>
    <row r="39" spans="2:21" ht="12.75" customHeight="1">
      <c r="C39" s="305"/>
      <c r="D39" s="301"/>
      <c r="E39" s="301"/>
      <c r="F39" s="301"/>
      <c r="G39" s="301"/>
      <c r="H39" s="301"/>
      <c r="I39" s="301"/>
      <c r="J39" s="301"/>
      <c r="K39" s="301"/>
      <c r="L39" s="301"/>
      <c r="M39" s="301"/>
      <c r="N39" s="301"/>
      <c r="O39" s="301"/>
      <c r="P39" s="304"/>
      <c r="Q39" s="301"/>
      <c r="R39" s="244"/>
      <c r="S39" s="244"/>
      <c r="T39" s="244"/>
      <c r="U39" s="244"/>
    </row>
    <row r="40" spans="2:21" ht="15.5">
      <c r="B40" s="244"/>
      <c r="C40" s="307" t="s">
        <v>240</v>
      </c>
      <c r="D40" s="308"/>
      <c r="E40" s="308"/>
      <c r="F40" s="308"/>
      <c r="G40" s="308"/>
      <c r="H40" s="308"/>
      <c r="I40" s="308"/>
      <c r="J40" s="308"/>
      <c r="K40" s="308"/>
      <c r="L40" s="308"/>
      <c r="M40" s="308"/>
      <c r="N40" s="308"/>
      <c r="O40" s="308"/>
      <c r="P40" s="302"/>
      <c r="Q40" s="308"/>
      <c r="R40" s="244"/>
      <c r="S40" s="244"/>
      <c r="T40" s="244"/>
      <c r="U40" s="244"/>
    </row>
    <row r="41" spans="2:21" ht="15.5">
      <c r="B41" s="244"/>
      <c r="C41" s="307"/>
      <c r="D41" s="308"/>
      <c r="E41" s="308"/>
      <c r="F41" s="308"/>
      <c r="G41" s="308"/>
      <c r="H41" s="308"/>
      <c r="I41" s="308"/>
      <c r="J41" s="308"/>
      <c r="K41" s="308"/>
      <c r="L41" s="308"/>
      <c r="M41" s="308"/>
      <c r="N41" s="308"/>
      <c r="O41" s="308"/>
      <c r="P41" s="302"/>
      <c r="Q41" s="308"/>
      <c r="R41" s="244"/>
      <c r="S41" s="244"/>
      <c r="T41" s="244"/>
      <c r="U41" s="244"/>
    </row>
    <row r="42" spans="2:21" ht="12.75" customHeight="1">
      <c r="B42" s="244"/>
      <c r="C42" s="237" t="str">
        <f>+S113</f>
        <v xml:space="preserve">   Net Revenue Requirement  (TCOS, ln 117)</v>
      </c>
      <c r="D42" s="308"/>
      <c r="E42" s="308"/>
      <c r="F42" s="302">
        <f>+R113</f>
        <v>132702347.60129565</v>
      </c>
      <c r="G42" s="308"/>
      <c r="H42" s="308"/>
      <c r="I42" s="308"/>
      <c r="J42" s="308"/>
      <c r="K42" s="308"/>
      <c r="L42" s="308"/>
      <c r="M42" s="308"/>
      <c r="N42" s="308"/>
      <c r="O42" s="308"/>
      <c r="P42" s="302"/>
      <c r="Q42" s="308"/>
      <c r="R42" s="244"/>
      <c r="S42" s="244"/>
      <c r="T42" s="244"/>
      <c r="U42" s="244"/>
    </row>
    <row r="43" spans="2:21" ht="12.5">
      <c r="B43" s="244"/>
      <c r="C43" s="237" t="str">
        <f>+S114</f>
        <v xml:space="preserve">   Return  (TCOS, ln 112)</v>
      </c>
      <c r="D43" s="308"/>
      <c r="E43" s="308"/>
      <c r="F43" s="309">
        <f>+R114</f>
        <v>60145384.298879899</v>
      </c>
      <c r="G43" s="310"/>
      <c r="H43" s="310"/>
      <c r="I43" s="310"/>
      <c r="J43" s="310"/>
      <c r="K43" s="310"/>
      <c r="L43" s="310"/>
      <c r="M43" s="310"/>
      <c r="N43" s="310"/>
      <c r="O43" s="310"/>
      <c r="P43" s="302"/>
      <c r="Q43" s="308"/>
      <c r="R43" s="244"/>
      <c r="S43" s="244"/>
      <c r="T43" s="244"/>
      <c r="U43" s="244"/>
    </row>
    <row r="44" spans="2:21" ht="12.5">
      <c r="B44" s="244"/>
      <c r="C44" s="237" t="str">
        <f>+S115</f>
        <v xml:space="preserve">   Income Taxes  (TCOS, ln 111)</v>
      </c>
      <c r="D44" s="308"/>
      <c r="E44" s="308"/>
      <c r="F44" s="302">
        <f>+R115</f>
        <v>14920147.723752318</v>
      </c>
      <c r="G44" s="308"/>
      <c r="H44" s="308"/>
      <c r="I44" s="311"/>
      <c r="J44" s="311"/>
      <c r="K44" s="311"/>
      <c r="L44" s="311"/>
      <c r="M44" s="311"/>
      <c r="N44" s="311"/>
      <c r="O44" s="308"/>
      <c r="P44" s="308"/>
      <c r="Q44" s="308"/>
      <c r="R44" s="244"/>
      <c r="S44" s="244"/>
      <c r="T44" s="244"/>
      <c r="U44" s="244"/>
    </row>
    <row r="45" spans="2:21" ht="12.5">
      <c r="B45" s="244"/>
      <c r="C45" s="312" t="str">
        <f>+S116</f>
        <v xml:space="preserve">  Gross Margin Taxes  (TCOS, ln 116)</v>
      </c>
      <c r="D45" s="308"/>
      <c r="E45" s="308"/>
      <c r="F45" s="313">
        <f>+R116</f>
        <v>0</v>
      </c>
      <c r="G45" s="308"/>
      <c r="H45" s="308"/>
      <c r="I45" s="311"/>
      <c r="J45" s="311"/>
      <c r="K45" s="311"/>
      <c r="L45" s="311"/>
      <c r="M45" s="311"/>
      <c r="N45" s="311"/>
      <c r="O45" s="308"/>
      <c r="P45" s="308"/>
      <c r="Q45" s="308"/>
      <c r="R45" s="244"/>
      <c r="S45" s="244"/>
      <c r="T45" s="244"/>
      <c r="U45" s="244"/>
    </row>
    <row r="46" spans="2:21" ht="12.5">
      <c r="B46" s="244"/>
      <c r="C46" s="249" t="s">
        <v>25</v>
      </c>
      <c r="D46" s="308"/>
      <c r="E46" s="308"/>
      <c r="F46" s="309">
        <f>F42-F43-F44-F45</f>
        <v>57636815.578663439</v>
      </c>
      <c r="G46" s="314"/>
      <c r="H46" s="308"/>
      <c r="I46" s="314"/>
      <c r="J46" s="314"/>
      <c r="K46" s="314"/>
      <c r="L46" s="314"/>
      <c r="M46" s="314"/>
      <c r="N46" s="314"/>
      <c r="O46" s="308"/>
      <c r="P46" s="314"/>
      <c r="Q46" s="308"/>
      <c r="R46" s="244"/>
      <c r="S46" s="244"/>
      <c r="T46" s="244"/>
      <c r="U46" s="244"/>
    </row>
    <row r="47" spans="2:21" ht="12.5">
      <c r="B47" s="244"/>
      <c r="C47" s="312"/>
      <c r="D47" s="308"/>
      <c r="E47" s="308"/>
      <c r="F47" s="302"/>
      <c r="G47" s="315"/>
      <c r="H47" s="316"/>
      <c r="I47" s="316"/>
      <c r="J47" s="316"/>
      <c r="K47" s="316"/>
      <c r="L47" s="316"/>
      <c r="M47" s="316"/>
      <c r="N47" s="316"/>
      <c r="O47" s="317"/>
      <c r="P47" s="316"/>
      <c r="Q47" s="318"/>
      <c r="R47" s="244"/>
      <c r="S47" s="244"/>
      <c r="T47" s="244"/>
      <c r="U47" s="244"/>
    </row>
    <row r="48" spans="2:21" ht="15.5">
      <c r="B48" s="244"/>
      <c r="C48" s="236" t="str">
        <f>"B.   Determine Net Revenue Requirement with hypothetical "&amp;F13&amp;" basis point increase in ROE."</f>
        <v>B.   Determine Net Revenue Requirement with hypothetical 0 basis point increase in ROE.</v>
      </c>
      <c r="D48" s="317"/>
      <c r="E48" s="317"/>
      <c r="F48" s="302"/>
      <c r="G48" s="315"/>
      <c r="H48" s="316"/>
      <c r="I48" s="316"/>
      <c r="J48" s="316"/>
      <c r="K48" s="316"/>
      <c r="L48" s="316"/>
      <c r="M48" s="316"/>
      <c r="N48" s="316"/>
      <c r="O48" s="317"/>
      <c r="P48" s="316"/>
      <c r="Q48" s="308"/>
      <c r="T48" s="244"/>
      <c r="U48" s="244"/>
    </row>
    <row r="49" spans="2:21" ht="15.5">
      <c r="B49" s="244"/>
      <c r="C49" s="236"/>
      <c r="D49" s="317"/>
      <c r="E49" s="317"/>
      <c r="F49" s="302"/>
      <c r="G49" s="315"/>
      <c r="H49" s="316"/>
      <c r="I49" s="316"/>
      <c r="J49" s="316"/>
      <c r="K49" s="316"/>
      <c r="L49" s="316"/>
      <c r="M49" s="316"/>
      <c r="N49" s="316"/>
      <c r="O49" s="317"/>
      <c r="P49" s="316"/>
      <c r="Q49" s="308"/>
      <c r="T49" s="244"/>
      <c r="U49" s="244"/>
    </row>
    <row r="50" spans="2:21" ht="13">
      <c r="B50" s="244"/>
      <c r="C50" s="312" t="str">
        <f>C46</f>
        <v xml:space="preserve">   Net Revenue Requirement, Less Return and Taxes</v>
      </c>
      <c r="D50" s="317"/>
      <c r="E50" s="317"/>
      <c r="F50" s="302">
        <f>F46</f>
        <v>57636815.578663439</v>
      </c>
      <c r="G50" s="308"/>
      <c r="H50" s="308"/>
      <c r="I50" s="308"/>
      <c r="J50" s="308"/>
      <c r="K50" s="308"/>
      <c r="L50" s="308"/>
      <c r="M50" s="308"/>
      <c r="N50" s="308"/>
      <c r="O50" s="319"/>
      <c r="P50" s="320"/>
      <c r="Q50" s="321"/>
      <c r="T50" s="244"/>
      <c r="U50" s="244"/>
    </row>
    <row r="51" spans="2:21" ht="13">
      <c r="B51" s="244"/>
      <c r="C51" s="243" t="s">
        <v>92</v>
      </c>
      <c r="D51" s="322"/>
      <c r="E51" s="249"/>
      <c r="F51" s="323">
        <f>E26</f>
        <v>60145384.298879899</v>
      </c>
      <c r="G51" s="249"/>
      <c r="H51" s="324"/>
      <c r="I51" s="249"/>
      <c r="J51" s="249"/>
      <c r="K51" s="249"/>
      <c r="L51" s="249"/>
      <c r="M51" s="249"/>
      <c r="N51" s="249"/>
      <c r="O51" s="249"/>
      <c r="P51" s="249"/>
      <c r="Q51" s="249"/>
      <c r="T51" s="244"/>
      <c r="U51" s="244"/>
    </row>
    <row r="52" spans="2:21" ht="12.75" customHeight="1">
      <c r="B52" s="244"/>
      <c r="C52" s="237" t="s">
        <v>26</v>
      </c>
      <c r="D52" s="308"/>
      <c r="E52" s="308"/>
      <c r="F52" s="325">
        <f>E35</f>
        <v>15399499.395459555</v>
      </c>
      <c r="G52" s="244"/>
      <c r="H52" s="326"/>
      <c r="I52" s="244"/>
      <c r="J52" s="279"/>
      <c r="K52" s="244"/>
      <c r="L52" s="244"/>
      <c r="M52" s="244"/>
      <c r="N52" s="244"/>
      <c r="O52" s="244"/>
      <c r="P52" s="244"/>
      <c r="Q52" s="244"/>
      <c r="T52" s="244"/>
      <c r="U52" s="244"/>
    </row>
    <row r="53" spans="2:21" ht="12.5">
      <c r="B53" s="244"/>
      <c r="C53" s="249" t="str">
        <f>"   Net Revenue Requirement, with "&amp;F13&amp;" Basis Point ROE increase"</f>
        <v xml:space="preserve">   Net Revenue Requirement, with 0 Basis Point ROE increase</v>
      </c>
      <c r="D53" s="293"/>
      <c r="E53" s="244"/>
      <c r="F53" s="327">
        <f>SUM(F50:F52)</f>
        <v>133181699.27300289</v>
      </c>
      <c r="G53" s="244"/>
      <c r="H53" s="326"/>
      <c r="I53" s="244"/>
      <c r="J53" s="279"/>
      <c r="K53" s="244"/>
      <c r="L53" s="244"/>
      <c r="M53" s="244"/>
      <c r="N53" s="244"/>
      <c r="O53" s="244"/>
      <c r="P53" s="244"/>
      <c r="Q53" s="244"/>
      <c r="R53" s="244"/>
      <c r="S53" s="244"/>
      <c r="T53" s="244"/>
      <c r="U53" s="244"/>
    </row>
    <row r="54" spans="2:21" ht="12.5">
      <c r="B54" s="244"/>
      <c r="C54" s="300" t="str">
        <f>"   Gross Margin Tax with "&amp;F13&amp;" Basis Point ROE Increase (II C. below)"</f>
        <v xml:space="preserve">   Gross Margin Tax with 0 Basis Point ROE Increase (II C. below)</v>
      </c>
      <c r="D54" s="328"/>
      <c r="E54" s="328"/>
      <c r="F54" s="329">
        <f>+F69</f>
        <v>0</v>
      </c>
      <c r="G54" s="244"/>
      <c r="H54" s="326"/>
      <c r="I54" s="244"/>
      <c r="J54" s="279"/>
      <c r="K54" s="244"/>
      <c r="L54" s="244"/>
      <c r="M54" s="244"/>
      <c r="N54" s="244"/>
      <c r="O54" s="244"/>
      <c r="P54" s="244"/>
      <c r="Q54" s="244"/>
      <c r="R54" s="244"/>
      <c r="S54" s="244"/>
      <c r="T54" s="244"/>
      <c r="U54" s="244"/>
    </row>
    <row r="55" spans="2:21" ht="12.5">
      <c r="B55" s="244"/>
      <c r="C55" s="249" t="s">
        <v>27</v>
      </c>
      <c r="D55" s="293"/>
      <c r="E55" s="244"/>
      <c r="F55" s="299">
        <f>+F53+F54</f>
        <v>133181699.27300289</v>
      </c>
      <c r="G55" s="244"/>
      <c r="H55" s="326"/>
      <c r="I55" s="244"/>
      <c r="J55" s="279"/>
      <c r="K55" s="244"/>
      <c r="L55" s="244"/>
      <c r="M55" s="244"/>
      <c r="N55" s="244"/>
      <c r="O55" s="244"/>
      <c r="P55" s="244"/>
      <c r="Q55" s="244"/>
      <c r="R55" s="244"/>
      <c r="S55" s="244"/>
      <c r="T55" s="244"/>
      <c r="U55" s="244"/>
    </row>
    <row r="56" spans="2:21" ht="12.5">
      <c r="B56" s="244"/>
      <c r="C56" s="237" t="str">
        <f>+S117</f>
        <v xml:space="preserve">   Less: Depreciation  (TCOS, ln 86)</v>
      </c>
      <c r="D56" s="293"/>
      <c r="E56" s="244"/>
      <c r="F56" s="330">
        <f>+R117</f>
        <v>30906225.643601935</v>
      </c>
      <c r="G56" s="244"/>
      <c r="H56" s="326"/>
      <c r="I56" s="244"/>
      <c r="J56" s="279"/>
      <c r="K56" s="244"/>
      <c r="L56" s="244"/>
      <c r="M56" s="244"/>
      <c r="N56" s="244"/>
      <c r="O56" s="244"/>
      <c r="P56" s="244"/>
      <c r="Q56" s="244"/>
      <c r="R56" s="244"/>
      <c r="S56" s="244"/>
      <c r="T56" s="244"/>
      <c r="U56" s="244"/>
    </row>
    <row r="57" spans="2:21" ht="12.5">
      <c r="B57" s="244"/>
      <c r="C57" s="249" t="str">
        <f>"   Net Rev. Req, w/"&amp;F13&amp;" Basis Point ROE increase, less Depreciation"</f>
        <v xml:space="preserve">   Net Rev. Req, w/0 Basis Point ROE increase, less Depreciation</v>
      </c>
      <c r="D57" s="293"/>
      <c r="E57" s="244"/>
      <c r="F57" s="327">
        <f>F55-F56</f>
        <v>102275473.62940095</v>
      </c>
      <c r="G57" s="244"/>
      <c r="H57" s="326"/>
      <c r="I57" s="244"/>
      <c r="J57" s="279"/>
      <c r="K57" s="244"/>
      <c r="L57" s="244"/>
      <c r="M57" s="244"/>
      <c r="N57" s="244"/>
      <c r="O57" s="244"/>
      <c r="P57" s="244"/>
      <c r="Q57" s="244"/>
      <c r="R57" s="244"/>
      <c r="S57" s="244"/>
      <c r="T57" s="244"/>
      <c r="U57" s="244"/>
    </row>
    <row r="58" spans="2:21" ht="12.5">
      <c r="B58" s="244"/>
      <c r="C58" s="244"/>
      <c r="D58" s="293"/>
      <c r="E58" s="244"/>
      <c r="F58" s="244"/>
      <c r="G58" s="244"/>
      <c r="H58" s="326"/>
      <c r="I58" s="244"/>
      <c r="J58" s="279"/>
      <c r="K58" s="244"/>
      <c r="L58" s="244"/>
      <c r="M58" s="244"/>
      <c r="N58" s="244"/>
      <c r="O58" s="244"/>
      <c r="P58" s="244"/>
      <c r="Q58" s="244"/>
      <c r="R58" s="244"/>
      <c r="S58" s="244"/>
      <c r="T58" s="244"/>
      <c r="U58" s="244"/>
    </row>
    <row r="59" spans="2:21" ht="15.5">
      <c r="B59" s="245"/>
      <c r="C59" s="307" t="str">
        <f>"C.   Determine Gross Margin Tax with hypothetical "&amp;F13&amp;" basis point increase in ROE."</f>
        <v>C.   Determine Gross Margin Tax with hypothetical 0 basis point increase in ROE.</v>
      </c>
      <c r="D59" s="331"/>
      <c r="E59" s="331"/>
      <c r="F59" s="332"/>
      <c r="G59" s="245"/>
      <c r="H59" s="333"/>
      <c r="I59" s="245"/>
      <c r="J59" s="279"/>
      <c r="K59" s="244"/>
      <c r="L59" s="244"/>
      <c r="M59" s="244"/>
      <c r="N59" s="244"/>
      <c r="O59" s="244"/>
      <c r="P59" s="244"/>
      <c r="Q59" s="244"/>
      <c r="R59" s="244"/>
      <c r="S59" s="244"/>
      <c r="T59" s="244"/>
      <c r="U59" s="244"/>
    </row>
    <row r="60" spans="2:21" ht="12.5">
      <c r="B60" s="245"/>
      <c r="C60" s="300" t="str">
        <f>"   Net Revenue Requirement before Gross Margin Taxes, with "&amp;F13&amp;" "</f>
        <v xml:space="preserve">   Net Revenue Requirement before Gross Margin Taxes, with 0 </v>
      </c>
      <c r="D60" s="331"/>
      <c r="E60" s="331"/>
      <c r="F60" s="332">
        <f>+F53</f>
        <v>133181699.27300289</v>
      </c>
      <c r="G60" s="245"/>
      <c r="H60" s="333"/>
      <c r="I60" s="245"/>
      <c r="J60" s="279"/>
      <c r="K60" s="244"/>
      <c r="L60" s="244"/>
      <c r="M60" s="244"/>
      <c r="N60" s="244"/>
      <c r="O60" s="244"/>
      <c r="P60" s="244"/>
      <c r="Q60" s="244"/>
      <c r="R60" s="244"/>
      <c r="S60" s="244"/>
      <c r="T60" s="244"/>
      <c r="U60" s="244"/>
    </row>
    <row r="61" spans="2:21" ht="12.5">
      <c r="B61" s="245"/>
      <c r="C61" s="300" t="s">
        <v>28</v>
      </c>
      <c r="D61" s="331"/>
      <c r="E61" s="331"/>
      <c r="F61" s="332"/>
      <c r="G61" s="245"/>
      <c r="H61" s="333"/>
      <c r="I61" s="245"/>
      <c r="J61" s="279"/>
      <c r="K61" s="244"/>
      <c r="L61" s="244"/>
      <c r="M61" s="244"/>
      <c r="N61" s="244"/>
      <c r="O61" s="244"/>
      <c r="P61" s="244"/>
      <c r="Q61" s="244"/>
      <c r="R61" s="244"/>
      <c r="S61" s="244"/>
      <c r="T61" s="244"/>
      <c r="U61" s="244"/>
    </row>
    <row r="62" spans="2:21" ht="12.5">
      <c r="B62" s="245"/>
      <c r="C62" s="249" t="str">
        <f>+S118</f>
        <v xml:space="preserve">       Apportionment Factor to Texas (Worksheet K, ln 12)</v>
      </c>
      <c r="D62" s="334"/>
      <c r="E62" s="245"/>
      <c r="F62" s="335">
        <f>+R118</f>
        <v>0</v>
      </c>
      <c r="G62" s="245"/>
      <c r="H62" s="333"/>
      <c r="I62" s="245"/>
      <c r="J62" s="279"/>
      <c r="K62" s="244"/>
      <c r="L62" s="244"/>
      <c r="M62" s="244"/>
      <c r="N62" s="244"/>
      <c r="O62" s="244"/>
      <c r="P62" s="244"/>
      <c r="Q62" s="244"/>
      <c r="R62" s="244"/>
      <c r="S62" s="244"/>
      <c r="T62" s="244"/>
      <c r="U62" s="244"/>
    </row>
    <row r="63" spans="2:21" ht="12.5">
      <c r="B63" s="245"/>
      <c r="C63" s="249" t="s">
        <v>29</v>
      </c>
      <c r="D63" s="334"/>
      <c r="E63" s="245"/>
      <c r="F63" s="332">
        <f>+F60*F62</f>
        <v>0</v>
      </c>
      <c r="G63" s="245"/>
      <c r="H63" s="333"/>
      <c r="I63" s="245"/>
      <c r="J63" s="279"/>
      <c r="K63" s="244"/>
      <c r="L63" s="244"/>
      <c r="M63" s="244"/>
      <c r="N63" s="244"/>
      <c r="O63" s="244"/>
      <c r="P63" s="244"/>
      <c r="Q63" s="244"/>
      <c r="R63" s="244"/>
      <c r="S63" s="244"/>
      <c r="T63" s="244"/>
      <c r="U63" s="244"/>
    </row>
    <row r="64" spans="2:21" ht="12.5">
      <c r="B64" s="245"/>
      <c r="C64" s="249" t="s">
        <v>257</v>
      </c>
      <c r="D64" s="334"/>
      <c r="E64" s="245"/>
      <c r="F64" s="336">
        <v>0.22</v>
      </c>
      <c r="G64" s="245"/>
      <c r="H64" s="333"/>
      <c r="I64" s="245"/>
      <c r="J64" s="279"/>
      <c r="K64" s="244"/>
      <c r="L64" s="244"/>
      <c r="M64" s="244"/>
      <c r="N64" s="244"/>
      <c r="O64" s="244"/>
      <c r="P64" s="244"/>
      <c r="Q64" s="244"/>
      <c r="R64" s="244"/>
      <c r="S64" s="244"/>
      <c r="T64" s="244"/>
      <c r="U64" s="244"/>
    </row>
    <row r="65" spans="2:21" ht="12.5">
      <c r="B65" s="245"/>
      <c r="C65" s="249" t="s">
        <v>30</v>
      </c>
      <c r="D65" s="334"/>
      <c r="E65" s="245"/>
      <c r="F65" s="332">
        <f>+F63*F64</f>
        <v>0</v>
      </c>
      <c r="G65" s="245"/>
      <c r="H65" s="333"/>
      <c r="I65" s="245"/>
      <c r="J65" s="279"/>
      <c r="K65" s="244"/>
      <c r="L65" s="244"/>
      <c r="M65" s="244"/>
      <c r="N65" s="244"/>
      <c r="O65" s="244"/>
      <c r="P65" s="244"/>
      <c r="Q65" s="244"/>
      <c r="R65" s="244"/>
      <c r="S65" s="244"/>
      <c r="T65" s="244"/>
      <c r="U65" s="244"/>
    </row>
    <row r="66" spans="2:21" ht="12.5">
      <c r="B66" s="245"/>
      <c r="C66" s="249" t="s">
        <v>31</v>
      </c>
      <c r="D66" s="334"/>
      <c r="E66" s="245"/>
      <c r="F66" s="336">
        <v>0.01</v>
      </c>
      <c r="G66" s="245"/>
      <c r="H66" s="333"/>
      <c r="I66" s="245"/>
      <c r="J66" s="279"/>
      <c r="K66" s="244"/>
      <c r="L66" s="244"/>
      <c r="M66" s="244"/>
      <c r="N66" s="244"/>
      <c r="O66" s="244"/>
      <c r="P66" s="244"/>
      <c r="Q66" s="244"/>
      <c r="R66" s="244"/>
      <c r="S66" s="244"/>
      <c r="T66" s="244"/>
      <c r="U66" s="244"/>
    </row>
    <row r="67" spans="2:21" ht="12.5">
      <c r="B67" s="245"/>
      <c r="C67" s="249" t="s">
        <v>32</v>
      </c>
      <c r="D67" s="334"/>
      <c r="E67" s="245"/>
      <c r="F67" s="332">
        <f>+F65*F66</f>
        <v>0</v>
      </c>
      <c r="G67" s="245"/>
      <c r="H67" s="333"/>
      <c r="I67" s="245"/>
      <c r="J67" s="279"/>
      <c r="K67" s="244"/>
      <c r="L67" s="244"/>
      <c r="M67" s="244"/>
      <c r="N67" s="244"/>
      <c r="O67" s="244"/>
      <c r="P67" s="244"/>
      <c r="Q67" s="244"/>
      <c r="R67" s="244"/>
      <c r="S67" s="244"/>
      <c r="T67" s="244"/>
      <c r="U67" s="244"/>
    </row>
    <row r="68" spans="2:21" ht="12.5">
      <c r="B68" s="245"/>
      <c r="C68" s="249" t="s">
        <v>33</v>
      </c>
      <c r="D68" s="334"/>
      <c r="E68" s="245"/>
      <c r="F68" s="337">
        <f>+ROUND((F67*F64*F62)/(1-F66)*F66,0)</f>
        <v>0</v>
      </c>
      <c r="G68" s="245"/>
      <c r="H68" s="333"/>
      <c r="I68" s="245"/>
      <c r="J68" s="279"/>
      <c r="K68" s="244"/>
      <c r="L68" s="244"/>
      <c r="M68" s="244"/>
      <c r="N68" s="244"/>
      <c r="O68" s="244"/>
      <c r="P68" s="244"/>
      <c r="Q68" s="244"/>
      <c r="R68" s="244"/>
      <c r="S68" s="244"/>
      <c r="T68" s="244"/>
      <c r="U68" s="244"/>
    </row>
    <row r="69" spans="2:21" ht="12.5">
      <c r="B69" s="245"/>
      <c r="C69" s="249" t="s">
        <v>34</v>
      </c>
      <c r="D69" s="334"/>
      <c r="E69" s="245"/>
      <c r="F69" s="332">
        <f>+F67+F68</f>
        <v>0</v>
      </c>
      <c r="G69" s="245"/>
      <c r="H69" s="333"/>
      <c r="I69" s="245"/>
      <c r="J69" s="279"/>
      <c r="K69" s="244"/>
      <c r="L69" s="244"/>
      <c r="M69" s="244"/>
      <c r="N69" s="244"/>
      <c r="O69" s="244"/>
      <c r="P69" s="244"/>
      <c r="Q69" s="244"/>
      <c r="R69" s="244"/>
      <c r="S69" s="244"/>
      <c r="T69" s="244"/>
      <c r="U69" s="244"/>
    </row>
    <row r="70" spans="2:21" ht="12.5">
      <c r="B70" s="244"/>
      <c r="C70" s="244"/>
      <c r="D70" s="293"/>
      <c r="E70" s="244"/>
      <c r="F70" s="244"/>
      <c r="G70" s="244"/>
      <c r="H70" s="326"/>
      <c r="I70" s="244"/>
      <c r="J70" s="279"/>
      <c r="K70" s="244"/>
      <c r="L70" s="244"/>
      <c r="M70" s="244"/>
      <c r="N70" s="244"/>
      <c r="O70" s="244"/>
      <c r="P70" s="244"/>
      <c r="Q70" s="244"/>
      <c r="R70" s="244"/>
      <c r="S70" s="244"/>
      <c r="T70" s="244"/>
      <c r="U70" s="244"/>
    </row>
    <row r="71" spans="2:21" ht="15.5">
      <c r="B71" s="244"/>
      <c r="C71" s="236" t="str">
        <f>"D.   Determine FCR with hypothetical "&amp;F13&amp;" basis point ROE increase."</f>
        <v>D.   Determine FCR with hypothetical 0 basis point ROE increase.</v>
      </c>
      <c r="D71" s="293"/>
      <c r="E71" s="244"/>
      <c r="F71" s="244"/>
      <c r="G71" s="244"/>
      <c r="H71" s="326"/>
      <c r="I71" s="244"/>
      <c r="J71" s="279"/>
      <c r="K71" s="244"/>
      <c r="L71" s="244"/>
      <c r="M71" s="244"/>
      <c r="N71" s="244"/>
      <c r="O71" s="244"/>
      <c r="P71" s="244"/>
      <c r="Q71" s="244"/>
      <c r="R71" s="244"/>
      <c r="S71" s="244"/>
      <c r="T71" s="244"/>
      <c r="U71" s="244"/>
    </row>
    <row r="72" spans="2:21" ht="12.5">
      <c r="B72" s="244"/>
      <c r="C72" s="237" t="str">
        <f>+S119</f>
        <v xml:space="preserve">   Net Transmission Plant  (TCOS, ln 37)</v>
      </c>
      <c r="D72" s="293"/>
      <c r="E72" s="244"/>
      <c r="F72" s="327">
        <f>+R119</f>
        <v>956576295.6876924</v>
      </c>
      <c r="G72" s="338"/>
      <c r="H72" s="213"/>
      <c r="J72" s="221"/>
      <c r="P72" s="244"/>
      <c r="Q72" s="244"/>
      <c r="R72" s="244"/>
      <c r="S72" s="244"/>
      <c r="T72" s="244"/>
      <c r="U72" s="326"/>
    </row>
    <row r="73" spans="2:21" ht="12.5">
      <c r="B73" s="244"/>
      <c r="C73" s="249" t="str">
        <f>"   Net Revenue Requirement, with "&amp;F13&amp;" Basis Point ROE increase"</f>
        <v xml:space="preserve">   Net Revenue Requirement, with 0 Basis Point ROE increase</v>
      </c>
      <c r="D73" s="293"/>
      <c r="E73" s="244"/>
      <c r="F73" s="339">
        <f>F53</f>
        <v>133181699.27300289</v>
      </c>
      <c r="H73" s="213"/>
      <c r="J73" s="221"/>
      <c r="P73" s="244"/>
      <c r="Q73" s="244"/>
      <c r="R73" s="244"/>
      <c r="S73" s="244"/>
      <c r="T73" s="244"/>
      <c r="U73" s="326"/>
    </row>
    <row r="74" spans="2:21" ht="12.5">
      <c r="B74" s="244"/>
      <c r="C74" s="249" t="str">
        <f>"   FCR with "&amp;F13&amp;" Basis Point increase in ROE"</f>
        <v xml:space="preserve">   FCR with 0 Basis Point increase in ROE</v>
      </c>
      <c r="D74" s="293"/>
      <c r="E74" s="244"/>
      <c r="F74" s="340">
        <f>IF(F72=0,0,F73/F72)</f>
        <v>0.13922747184243911</v>
      </c>
      <c r="H74" s="213"/>
      <c r="J74" s="221"/>
      <c r="P74" s="244"/>
      <c r="Q74" s="244"/>
      <c r="R74" s="244"/>
      <c r="S74" s="244"/>
      <c r="T74" s="244"/>
      <c r="U74" s="326"/>
    </row>
    <row r="75" spans="2:21" ht="12.5">
      <c r="B75" s="244"/>
      <c r="D75" s="293"/>
      <c r="E75" s="244"/>
      <c r="F75" s="245"/>
      <c r="H75" s="213"/>
      <c r="J75" s="221"/>
      <c r="P75" s="244"/>
      <c r="Q75" s="244"/>
      <c r="R75" s="244"/>
      <c r="S75" s="244"/>
      <c r="T75" s="244"/>
      <c r="U75" s="326"/>
    </row>
    <row r="76" spans="2:21" ht="12.5">
      <c r="B76" s="244"/>
      <c r="C76" s="249" t="str">
        <f>"   Net Rev. Req, w / "&amp;F13&amp;" Basis Point ROE increase, less Dep."</f>
        <v xml:space="preserve">   Net Rev. Req, w / 0 Basis Point ROE increase, less Dep.</v>
      </c>
      <c r="D76" s="293"/>
      <c r="E76" s="244"/>
      <c r="F76" s="327">
        <f>F57</f>
        <v>102275473.62940095</v>
      </c>
      <c r="G76" s="338"/>
      <c r="H76" s="213"/>
      <c r="J76" s="221"/>
      <c r="P76" s="244"/>
      <c r="Q76" s="244"/>
      <c r="R76" s="244"/>
      <c r="S76" s="244"/>
      <c r="T76" s="244"/>
      <c r="U76" s="326"/>
    </row>
    <row r="77" spans="2:21" ht="12.5">
      <c r="B77" s="244"/>
      <c r="C77" s="249" t="str">
        <f>"   FCR with "&amp;F13&amp;" Basis Point ROE increase, less Depreciation"</f>
        <v xml:space="preserve">   FCR with 0 Basis Point ROE increase, less Depreciation</v>
      </c>
      <c r="D77" s="293"/>
      <c r="E77" s="244"/>
      <c r="F77" s="340">
        <f>IF(F72=0,0,F76/F72)</f>
        <v>0.10691826056161477</v>
      </c>
      <c r="G77" s="340"/>
      <c r="H77" s="213"/>
      <c r="J77" s="221"/>
      <c r="P77" s="244"/>
      <c r="Q77" s="244"/>
      <c r="R77" s="244"/>
      <c r="S77" s="244"/>
      <c r="T77" s="244"/>
      <c r="U77" s="326"/>
    </row>
    <row r="78" spans="2:21" ht="12.5">
      <c r="B78" s="244"/>
      <c r="C78" s="237" t="str">
        <f>+S120</f>
        <v xml:space="preserve">   FCR less Depreciation  (TCOS, ln 10)</v>
      </c>
      <c r="D78" s="293"/>
      <c r="E78" s="244"/>
      <c r="F78" s="341">
        <f>+R120</f>
        <v>0.1064171487591708</v>
      </c>
      <c r="H78" s="213"/>
      <c r="J78" s="221"/>
      <c r="P78" s="244"/>
      <c r="Q78" s="244"/>
      <c r="R78" s="244"/>
      <c r="S78" s="244"/>
      <c r="T78" s="244"/>
      <c r="U78" s="326"/>
    </row>
    <row r="79" spans="2:21" ht="12.5">
      <c r="B79" s="244"/>
      <c r="C79" s="661" t="str">
        <f>"   Incremental FCR with "&amp;F13&amp;" Basis Point ROE increase, less Depreciation"</f>
        <v xml:space="preserve">   Incremental FCR with 0 Basis Point ROE increase, less Depreciation</v>
      </c>
      <c r="D79" s="660"/>
      <c r="E79" s="660"/>
      <c r="F79" s="340">
        <f>F77-F78</f>
        <v>5.0111180244397091E-4</v>
      </c>
      <c r="H79" s="213"/>
      <c r="J79" s="221"/>
      <c r="P79" s="244"/>
      <c r="Q79" s="244"/>
      <c r="R79" s="244"/>
      <c r="S79" s="244"/>
      <c r="T79" s="244"/>
      <c r="U79" s="326"/>
    </row>
    <row r="80" spans="2:21" ht="12.5">
      <c r="B80" s="244"/>
      <c r="C80" s="660"/>
      <c r="D80" s="660"/>
      <c r="E80" s="660"/>
      <c r="F80" s="340"/>
      <c r="G80" s="244"/>
      <c r="H80" s="326"/>
      <c r="I80" s="244"/>
      <c r="J80" s="279"/>
      <c r="K80" s="244"/>
      <c r="L80" s="244"/>
      <c r="M80" s="244"/>
      <c r="N80" s="244"/>
      <c r="O80" s="244"/>
      <c r="P80" s="244"/>
      <c r="Q80" s="244"/>
      <c r="R80" s="244"/>
      <c r="S80" s="244"/>
      <c r="T80" s="244"/>
      <c r="U80" s="244"/>
    </row>
    <row r="81" spans="2:21" ht="18">
      <c r="B81" s="234" t="s">
        <v>35</v>
      </c>
      <c r="C81" s="306" t="s">
        <v>36</v>
      </c>
      <c r="D81" s="293"/>
      <c r="E81" s="244"/>
      <c r="F81" s="340"/>
      <c r="G81" s="244"/>
      <c r="H81" s="326"/>
      <c r="I81" s="244"/>
      <c r="J81" s="279"/>
      <c r="K81" s="244"/>
      <c r="L81" s="244"/>
      <c r="M81" s="244"/>
      <c r="N81" s="244"/>
      <c r="O81" s="244"/>
      <c r="P81" s="244"/>
      <c r="Q81" s="244"/>
      <c r="R81" s="244"/>
      <c r="S81" s="244"/>
      <c r="T81" s="244"/>
      <c r="U81" s="244"/>
    </row>
    <row r="82" spans="2:21" ht="12.75" customHeight="1">
      <c r="B82" s="234"/>
      <c r="C82" s="249" t="s">
        <v>37</v>
      </c>
      <c r="D82" s="293"/>
      <c r="F82" s="333">
        <f>R121</f>
        <v>1056374505</v>
      </c>
      <c r="G82" s="244" t="s">
        <v>241</v>
      </c>
      <c r="H82" s="326"/>
      <c r="I82" s="652" t="s">
        <v>259</v>
      </c>
      <c r="J82" s="652"/>
      <c r="K82" s="652"/>
      <c r="L82" s="652"/>
      <c r="M82" s="652"/>
      <c r="N82" s="652"/>
      <c r="O82" s="244"/>
      <c r="P82" s="244"/>
      <c r="Q82" s="244"/>
      <c r="R82" s="244"/>
      <c r="S82" s="244"/>
      <c r="T82" s="244"/>
      <c r="U82" s="244"/>
    </row>
    <row r="83" spans="2:21" ht="12.75" customHeight="1">
      <c r="B83" s="234"/>
      <c r="C83" s="249" t="s">
        <v>38</v>
      </c>
      <c r="D83" s="293"/>
      <c r="F83" s="342">
        <f>R122</f>
        <v>1184346694</v>
      </c>
      <c r="G83" s="244" t="s">
        <v>241</v>
      </c>
      <c r="H83" s="326"/>
      <c r="I83" s="652"/>
      <c r="J83" s="652"/>
      <c r="K83" s="652"/>
      <c r="L83" s="652"/>
      <c r="M83" s="652"/>
      <c r="N83" s="652"/>
      <c r="O83" s="244"/>
      <c r="P83" s="244"/>
      <c r="Q83" s="244"/>
      <c r="R83" s="244"/>
      <c r="S83" s="244"/>
      <c r="T83" s="244"/>
      <c r="U83" s="244"/>
    </row>
    <row r="84" spans="2:21" ht="12.5">
      <c r="B84" s="244"/>
      <c r="C84" s="249"/>
      <c r="D84" s="293"/>
      <c r="F84" s="326">
        <f>SUM(F82:F83)</f>
        <v>2240721199</v>
      </c>
      <c r="G84" s="327"/>
      <c r="H84" s="326"/>
      <c r="I84" s="652"/>
      <c r="J84" s="652"/>
      <c r="K84" s="652"/>
      <c r="L84" s="652"/>
      <c r="M84" s="652"/>
      <c r="N84" s="652"/>
      <c r="O84" s="244"/>
      <c r="P84" s="244"/>
      <c r="Q84" s="244"/>
      <c r="R84" s="244"/>
      <c r="S84" s="244"/>
      <c r="T84" s="244"/>
      <c r="U84" s="244"/>
    </row>
    <row r="85" spans="2:21" ht="12.5">
      <c r="B85" s="244"/>
      <c r="C85" s="249" t="str">
        <f>S123</f>
        <v>Transmission Plant Average Balance for 2018</v>
      </c>
      <c r="D85" s="334"/>
      <c r="E85" s="152"/>
      <c r="F85" s="343">
        <f>+F84/2</f>
        <v>1120360599.5</v>
      </c>
      <c r="G85" s="344"/>
      <c r="H85" s="326"/>
      <c r="I85" s="652"/>
      <c r="J85" s="652"/>
      <c r="K85" s="652"/>
      <c r="L85" s="652"/>
      <c r="M85" s="652"/>
      <c r="N85" s="652"/>
      <c r="O85" s="244"/>
      <c r="P85" s="244"/>
      <c r="Q85" s="244"/>
      <c r="R85" s="244"/>
      <c r="S85" s="244"/>
      <c r="T85" s="244"/>
      <c r="U85" s="244"/>
    </row>
    <row r="86" spans="2:21" ht="12.5">
      <c r="B86" s="244"/>
      <c r="C86" s="237" t="str">
        <f>S124</f>
        <v>Annual Depreciation Expense  (Historic TCOS, ln 259)</v>
      </c>
      <c r="D86" s="334"/>
      <c r="E86" s="245"/>
      <c r="F86" s="343">
        <f>R124</f>
        <v>32737164</v>
      </c>
      <c r="G86" s="244"/>
      <c r="H86" s="326"/>
      <c r="I86" s="652"/>
      <c r="J86" s="652"/>
      <c r="K86" s="652"/>
      <c r="L86" s="652"/>
      <c r="M86" s="652"/>
      <c r="N86" s="652"/>
      <c r="O86" s="244"/>
      <c r="P86" s="244"/>
      <c r="Q86" s="244"/>
      <c r="R86" s="244"/>
      <c r="S86" s="244"/>
      <c r="T86" s="244"/>
      <c r="U86" s="244"/>
    </row>
    <row r="87" spans="2:21" ht="12.5">
      <c r="B87" s="244"/>
      <c r="C87" s="249" t="s">
        <v>39</v>
      </c>
      <c r="D87" s="293"/>
      <c r="E87" s="244"/>
      <c r="F87" s="345">
        <f>F86/F85</f>
        <v>2.9220202865586402E-2</v>
      </c>
      <c r="G87" s="244"/>
      <c r="H87" s="346"/>
      <c r="I87" s="652"/>
      <c r="J87" s="652"/>
      <c r="K87" s="652"/>
      <c r="L87" s="652"/>
      <c r="M87" s="652"/>
      <c r="N87" s="652"/>
      <c r="O87" s="244"/>
      <c r="P87" s="244"/>
      <c r="Q87" s="244"/>
      <c r="R87" s="244"/>
      <c r="S87" s="244"/>
      <c r="T87" s="244"/>
      <c r="U87" s="244"/>
    </row>
    <row r="88" spans="2:21" ht="12.5">
      <c r="B88" s="244"/>
      <c r="C88" s="249" t="s">
        <v>40</v>
      </c>
      <c r="D88" s="293"/>
      <c r="E88" s="244"/>
      <c r="F88" s="347">
        <f>IF(F87=0,0,1/F87)</f>
        <v>34.222897239968617</v>
      </c>
      <c r="H88" s="326"/>
      <c r="I88" s="244"/>
      <c r="J88" s="279"/>
      <c r="K88" s="244"/>
      <c r="L88" s="244"/>
      <c r="M88" s="244"/>
      <c r="N88" s="244"/>
      <c r="O88" s="244"/>
      <c r="P88" s="244"/>
      <c r="Q88" s="244"/>
      <c r="R88" s="244"/>
      <c r="S88" s="244"/>
      <c r="T88" s="244"/>
      <c r="U88" s="244"/>
    </row>
    <row r="89" spans="2:21" ht="12.5">
      <c r="B89" s="244"/>
      <c r="C89" s="249" t="s">
        <v>41</v>
      </c>
      <c r="D89" s="293"/>
      <c r="E89" s="244"/>
      <c r="F89" s="348">
        <f>ROUND(F88,0)</f>
        <v>34</v>
      </c>
      <c r="G89" s="244"/>
      <c r="H89" s="326"/>
      <c r="I89" s="244"/>
      <c r="J89" s="279"/>
      <c r="K89" s="244"/>
      <c r="L89" s="244"/>
      <c r="M89" s="244"/>
      <c r="N89" s="244"/>
      <c r="O89" s="244"/>
      <c r="P89" s="244"/>
      <c r="Q89" s="244"/>
      <c r="R89" s="244"/>
      <c r="S89" s="244"/>
      <c r="T89" s="244"/>
      <c r="U89" s="244"/>
    </row>
    <row r="90" spans="2:21" ht="12.5">
      <c r="C90" s="349"/>
      <c r="D90" s="350"/>
      <c r="E90" s="350"/>
      <c r="F90" s="350"/>
      <c r="G90" s="295"/>
      <c r="H90" s="295"/>
      <c r="I90" s="351"/>
      <c r="J90" s="351"/>
      <c r="K90" s="351"/>
      <c r="L90" s="351"/>
      <c r="M90" s="351"/>
      <c r="N90" s="351"/>
      <c r="O90" s="279"/>
      <c r="P90" s="279"/>
      <c r="Q90" s="244"/>
      <c r="R90" s="244"/>
      <c r="S90" s="244"/>
      <c r="T90" s="244"/>
      <c r="U90" s="244"/>
    </row>
    <row r="91" spans="2:21" ht="12.5">
      <c r="C91" s="349"/>
      <c r="D91" s="350"/>
      <c r="E91" s="350"/>
      <c r="F91" s="350"/>
      <c r="G91" s="295"/>
      <c r="H91" s="295"/>
      <c r="I91" s="351"/>
      <c r="J91" s="351"/>
      <c r="K91" s="351"/>
      <c r="L91" s="351"/>
      <c r="M91" s="351"/>
      <c r="N91" s="351"/>
      <c r="O91" s="279"/>
      <c r="P91" s="279"/>
      <c r="Q91" s="244"/>
      <c r="R91" s="244"/>
      <c r="S91" s="244"/>
      <c r="T91" s="244"/>
      <c r="U91" s="244"/>
    </row>
    <row r="92" spans="2:21" ht="12.5">
      <c r="J92" s="221"/>
      <c r="P92" s="244"/>
      <c r="Q92" s="244"/>
      <c r="R92" s="244"/>
      <c r="S92" s="244"/>
      <c r="T92" s="244"/>
      <c r="U92" s="244"/>
    </row>
    <row r="93" spans="2:21" ht="13">
      <c r="J93" s="221"/>
      <c r="P93" s="244"/>
      <c r="Q93" s="244"/>
      <c r="R93" s="352" t="s">
        <v>111</v>
      </c>
      <c r="S93" s="145" t="s">
        <v>112</v>
      </c>
      <c r="U93" s="244"/>
    </row>
    <row r="94" spans="2:21" ht="12.5">
      <c r="J94" s="221"/>
      <c r="P94" s="244"/>
      <c r="Q94" s="244"/>
      <c r="U94" s="244"/>
    </row>
    <row r="95" spans="2:21" ht="13">
      <c r="C95" s="233" t="s">
        <v>108</v>
      </c>
      <c r="J95" s="221"/>
      <c r="L95" s="233" t="s">
        <v>107</v>
      </c>
      <c r="P95" s="244"/>
      <c r="Q95" s="244"/>
      <c r="U95" s="244"/>
    </row>
    <row r="96" spans="2:21" ht="13">
      <c r="J96" s="221"/>
      <c r="P96" s="244"/>
      <c r="Q96" s="244"/>
      <c r="R96" s="352" t="s">
        <v>102</v>
      </c>
      <c r="S96" s="353" t="s">
        <v>250</v>
      </c>
      <c r="U96" s="244"/>
    </row>
    <row r="97" spans="10:21" ht="13">
      <c r="J97" s="221"/>
      <c r="P97" s="244"/>
      <c r="Q97" s="244"/>
      <c r="R97" s="352"/>
      <c r="S97" s="201" t="s">
        <v>106</v>
      </c>
      <c r="U97" s="244"/>
    </row>
    <row r="98" spans="10:21" ht="13.5" thickBot="1">
      <c r="J98" s="221"/>
      <c r="P98" s="244"/>
      <c r="Q98" s="244"/>
      <c r="R98" s="354" t="s">
        <v>184</v>
      </c>
      <c r="U98" s="244"/>
    </row>
    <row r="99" spans="10:21" ht="12.5">
      <c r="J99" s="221"/>
      <c r="P99" s="244"/>
      <c r="Q99" s="244"/>
      <c r="R99" s="355" t="s">
        <v>126</v>
      </c>
      <c r="S99" s="356" t="s">
        <v>127</v>
      </c>
      <c r="U99" s="244"/>
    </row>
    <row r="100" spans="10:21" ht="12.5">
      <c r="J100" s="221"/>
      <c r="P100" s="244"/>
      <c r="Q100" s="244"/>
      <c r="R100" s="357">
        <v>2020</v>
      </c>
      <c r="S100" s="358" t="s">
        <v>287</v>
      </c>
      <c r="T100" s="244"/>
      <c r="U100" s="244"/>
    </row>
    <row r="101" spans="10:21" ht="12.5">
      <c r="J101" s="221"/>
      <c r="P101" s="244"/>
      <c r="Q101" s="244"/>
      <c r="R101" s="359">
        <v>0.105</v>
      </c>
      <c r="S101" s="358" t="s">
        <v>271</v>
      </c>
      <c r="T101" s="244"/>
      <c r="U101" s="244"/>
    </row>
    <row r="102" spans="10:21" ht="12.5">
      <c r="J102" s="221"/>
      <c r="P102" s="244"/>
      <c r="Q102" s="244"/>
      <c r="R102" s="360">
        <v>0</v>
      </c>
      <c r="S102" s="358" t="s">
        <v>1</v>
      </c>
      <c r="T102" s="244"/>
      <c r="U102" s="244"/>
    </row>
    <row r="103" spans="10:21" ht="12.5">
      <c r="J103" s="221"/>
      <c r="P103" s="244"/>
      <c r="Q103" s="244"/>
      <c r="R103" s="361">
        <v>0.46050615614234741</v>
      </c>
      <c r="S103" s="362" t="s">
        <v>97</v>
      </c>
      <c r="T103" s="244"/>
      <c r="U103" s="244"/>
    </row>
    <row r="104" spans="10:21" ht="12.5">
      <c r="J104" s="221"/>
      <c r="P104" s="244"/>
      <c r="Q104" s="244"/>
      <c r="R104" s="361">
        <v>4.1187278923387416E-2</v>
      </c>
      <c r="S104" s="362" t="s">
        <v>98</v>
      </c>
      <c r="T104" s="244"/>
      <c r="U104" s="244"/>
    </row>
    <row r="105" spans="10:21" ht="12.5">
      <c r="J105" s="221"/>
      <c r="P105" s="244"/>
      <c r="Q105" s="244"/>
      <c r="R105" s="361">
        <v>0</v>
      </c>
      <c r="S105" s="362" t="s">
        <v>99</v>
      </c>
      <c r="T105" s="244"/>
      <c r="U105" s="244"/>
    </row>
    <row r="106" spans="10:21" ht="12.5">
      <c r="J106" s="221"/>
      <c r="P106" s="244"/>
      <c r="Q106" s="244"/>
      <c r="R106" s="361">
        <v>0</v>
      </c>
      <c r="S106" s="362" t="s">
        <v>100</v>
      </c>
      <c r="T106" s="244"/>
      <c r="U106" s="244"/>
    </row>
    <row r="107" spans="10:21" ht="12.5">
      <c r="J107" s="221"/>
      <c r="P107" s="244"/>
      <c r="Q107" s="244"/>
      <c r="R107" s="361">
        <v>0.53949384385765264</v>
      </c>
      <c r="S107" s="363" t="s">
        <v>101</v>
      </c>
      <c r="T107" s="244"/>
      <c r="U107" s="244"/>
    </row>
    <row r="108" spans="10:21" ht="12.5">
      <c r="J108" s="221"/>
      <c r="P108" s="244"/>
      <c r="Q108" s="244"/>
      <c r="R108" s="364">
        <v>795428152.53506243</v>
      </c>
      <c r="S108" s="365" t="s">
        <v>272</v>
      </c>
      <c r="T108" s="244"/>
      <c r="U108" s="244"/>
    </row>
    <row r="109" spans="10:21" ht="12.5">
      <c r="J109" s="221"/>
      <c r="P109" s="244"/>
      <c r="Q109" s="244"/>
      <c r="R109" s="366">
        <v>0.254714</v>
      </c>
      <c r="S109" s="367" t="s">
        <v>273</v>
      </c>
      <c r="T109" s="244"/>
      <c r="U109" s="244"/>
    </row>
    <row r="110" spans="10:21" ht="12.5">
      <c r="J110" s="221"/>
      <c r="P110" s="244"/>
      <c r="Q110" s="244"/>
      <c r="R110" s="368">
        <v>0</v>
      </c>
      <c r="S110" s="367" t="s">
        <v>274</v>
      </c>
      <c r="T110" s="244"/>
      <c r="U110" s="244"/>
    </row>
    <row r="111" spans="10:21" ht="12.5">
      <c r="J111" s="221"/>
      <c r="P111" s="244"/>
      <c r="Q111" s="244"/>
      <c r="R111" s="368">
        <v>-788468.85625115747</v>
      </c>
      <c r="S111" s="367" t="s">
        <v>275</v>
      </c>
      <c r="T111" s="244"/>
      <c r="U111" s="244"/>
    </row>
    <row r="112" spans="10:21" ht="12.5">
      <c r="J112" s="221"/>
      <c r="P112" s="244"/>
      <c r="Q112" s="244"/>
      <c r="R112" s="368">
        <v>309117.18454392004</v>
      </c>
      <c r="S112" s="367" t="s">
        <v>288</v>
      </c>
      <c r="T112" s="244"/>
      <c r="U112" s="244"/>
    </row>
    <row r="113" spans="3:21" ht="12.5">
      <c r="C113" s="244"/>
      <c r="D113" s="293"/>
      <c r="E113" s="244"/>
      <c r="F113" s="244"/>
      <c r="G113" s="244"/>
      <c r="H113" s="326"/>
      <c r="I113" s="244"/>
      <c r="J113" s="279"/>
      <c r="K113" s="244"/>
      <c r="L113" s="244"/>
      <c r="M113" s="244"/>
      <c r="P113" s="244"/>
      <c r="Q113" s="244"/>
      <c r="R113" s="368">
        <v>132702347.60129565</v>
      </c>
      <c r="S113" s="367" t="s">
        <v>277</v>
      </c>
      <c r="T113" s="244"/>
      <c r="U113" s="244"/>
    </row>
    <row r="114" spans="3:21" ht="12.5">
      <c r="C114" s="244"/>
      <c r="D114" s="293"/>
      <c r="E114" s="244"/>
      <c r="F114" s="244"/>
      <c r="G114" s="244"/>
      <c r="H114" s="326"/>
      <c r="I114" s="244"/>
      <c r="J114" s="279"/>
      <c r="K114" s="244"/>
      <c r="L114" s="244"/>
      <c r="M114" s="244"/>
      <c r="P114" s="244"/>
      <c r="Q114" s="244"/>
      <c r="R114" s="368">
        <v>60145384.298879899</v>
      </c>
      <c r="S114" s="367" t="s">
        <v>278</v>
      </c>
      <c r="T114" s="244"/>
      <c r="U114" s="244"/>
    </row>
    <row r="115" spans="3:21" ht="12.5">
      <c r="C115" s="244"/>
      <c r="D115" s="293"/>
      <c r="E115" s="244"/>
      <c r="F115" s="244"/>
      <c r="G115" s="244"/>
      <c r="H115" s="326"/>
      <c r="I115" s="244"/>
      <c r="J115" s="279"/>
      <c r="K115" s="244"/>
      <c r="L115" s="244"/>
      <c r="M115" s="244"/>
      <c r="P115" s="244"/>
      <c r="Q115" s="244"/>
      <c r="R115" s="368">
        <v>14920147.723752318</v>
      </c>
      <c r="S115" s="367" t="s">
        <v>279</v>
      </c>
      <c r="T115" s="244"/>
      <c r="U115" s="244"/>
    </row>
    <row r="116" spans="3:21" ht="12.5">
      <c r="C116" s="244"/>
      <c r="D116" s="293"/>
      <c r="E116" s="244"/>
      <c r="F116" s="244"/>
      <c r="G116" s="244"/>
      <c r="H116" s="326"/>
      <c r="I116" s="244"/>
      <c r="J116" s="279"/>
      <c r="K116" s="244"/>
      <c r="L116" s="244"/>
      <c r="M116" s="244"/>
      <c r="P116" s="244"/>
      <c r="Q116" s="244"/>
      <c r="R116" s="368">
        <v>0</v>
      </c>
      <c r="S116" s="367" t="s">
        <v>280</v>
      </c>
      <c r="T116" s="244"/>
      <c r="U116" s="244"/>
    </row>
    <row r="117" spans="3:21" ht="12.5">
      <c r="C117" s="244"/>
      <c r="D117" s="293"/>
      <c r="E117" s="244"/>
      <c r="F117" s="244"/>
      <c r="G117" s="244"/>
      <c r="H117" s="326"/>
      <c r="I117" s="244"/>
      <c r="J117" s="279"/>
      <c r="K117" s="244"/>
      <c r="L117" s="244"/>
      <c r="M117" s="244"/>
      <c r="P117" s="244"/>
      <c r="Q117" s="244"/>
      <c r="R117" s="368">
        <v>30906225.643601935</v>
      </c>
      <c r="S117" s="367" t="s">
        <v>281</v>
      </c>
      <c r="T117" s="244"/>
      <c r="U117" s="244"/>
    </row>
    <row r="118" spans="3:21" ht="12.5">
      <c r="C118" s="244"/>
      <c r="D118" s="293"/>
      <c r="E118" s="244"/>
      <c r="F118" s="244"/>
      <c r="G118" s="244"/>
      <c r="H118" s="326"/>
      <c r="I118" s="244"/>
      <c r="J118" s="279"/>
      <c r="K118" s="244"/>
      <c r="L118" s="244"/>
      <c r="M118" s="244"/>
      <c r="P118" s="244"/>
      <c r="Q118" s="244"/>
      <c r="R118" s="369">
        <v>0</v>
      </c>
      <c r="S118" s="367" t="s">
        <v>104</v>
      </c>
      <c r="T118" s="244"/>
      <c r="U118" s="244"/>
    </row>
    <row r="119" spans="3:21" ht="12.5">
      <c r="C119" s="244"/>
      <c r="D119" s="293"/>
      <c r="E119" s="244"/>
      <c r="F119" s="244"/>
      <c r="G119" s="244"/>
      <c r="H119" s="326"/>
      <c r="I119" s="244"/>
      <c r="J119" s="279"/>
      <c r="K119" s="244"/>
      <c r="L119" s="244"/>
      <c r="M119" s="244"/>
      <c r="P119" s="244"/>
      <c r="Q119" s="244"/>
      <c r="R119" s="368">
        <v>956576295.6876924</v>
      </c>
      <c r="S119" s="367" t="s">
        <v>282</v>
      </c>
      <c r="T119" s="244"/>
      <c r="U119" s="244"/>
    </row>
    <row r="120" spans="3:21" ht="12.5">
      <c r="C120" s="244"/>
      <c r="D120" s="293"/>
      <c r="E120" s="244"/>
      <c r="F120" s="244"/>
      <c r="G120" s="244"/>
      <c r="H120" s="326"/>
      <c r="I120" s="244"/>
      <c r="J120" s="279"/>
      <c r="K120" s="244"/>
      <c r="L120" s="244"/>
      <c r="M120" s="244"/>
      <c r="P120" s="244"/>
      <c r="Q120" s="244"/>
      <c r="R120" s="369">
        <v>0.1064171487591708</v>
      </c>
      <c r="S120" s="370" t="s">
        <v>283</v>
      </c>
      <c r="T120" s="244"/>
      <c r="U120" s="244"/>
    </row>
    <row r="121" spans="3:21" ht="12.5">
      <c r="C121" s="244"/>
      <c r="D121" s="293"/>
      <c r="E121" s="244"/>
      <c r="F121" s="244"/>
      <c r="G121" s="244"/>
      <c r="H121" s="326"/>
      <c r="I121" s="244"/>
      <c r="J121" s="279"/>
      <c r="K121" s="244"/>
      <c r="L121" s="244"/>
      <c r="M121" s="244"/>
      <c r="P121" s="244"/>
      <c r="Q121" s="244"/>
      <c r="R121" s="371">
        <v>1056374505</v>
      </c>
      <c r="S121" s="362" t="s">
        <v>37</v>
      </c>
      <c r="T121" s="244"/>
      <c r="U121" s="244"/>
    </row>
    <row r="122" spans="3:21" ht="12.5">
      <c r="C122" s="244"/>
      <c r="D122" s="293"/>
      <c r="E122" s="244"/>
      <c r="F122" s="244"/>
      <c r="G122" s="244"/>
      <c r="H122" s="326"/>
      <c r="I122" s="244"/>
      <c r="J122" s="279"/>
      <c r="K122" s="244"/>
      <c r="L122" s="244"/>
      <c r="M122" s="244"/>
      <c r="P122" s="244"/>
      <c r="Q122" s="244"/>
      <c r="R122" s="372">
        <v>1184346694</v>
      </c>
      <c r="S122" s="363" t="s">
        <v>38</v>
      </c>
      <c r="T122" s="244"/>
      <c r="U122" s="244"/>
    </row>
    <row r="123" spans="3:21" ht="12.5">
      <c r="C123" s="244"/>
      <c r="D123" s="293"/>
      <c r="E123" s="244"/>
      <c r="F123" s="244"/>
      <c r="G123" s="244"/>
      <c r="H123" s="326"/>
      <c r="I123" s="244"/>
      <c r="J123" s="279"/>
      <c r="K123" s="244"/>
      <c r="L123" s="244"/>
      <c r="M123" s="244"/>
      <c r="N123" s="244"/>
      <c r="P123" s="244"/>
      <c r="Q123" s="244"/>
      <c r="R123" s="372">
        <v>1128777668.0769231</v>
      </c>
      <c r="S123" s="373" t="s">
        <v>286</v>
      </c>
      <c r="T123" s="374"/>
      <c r="U123" s="244"/>
    </row>
    <row r="124" spans="3:21" ht="13" thickBot="1">
      <c r="C124" s="244"/>
      <c r="D124" s="293"/>
      <c r="E124" s="244"/>
      <c r="F124" s="244"/>
      <c r="G124" s="244"/>
      <c r="H124" s="326"/>
      <c r="I124" s="244"/>
      <c r="J124" s="279"/>
      <c r="K124" s="244"/>
      <c r="L124" s="244"/>
      <c r="M124" s="244"/>
      <c r="N124" s="244"/>
      <c r="P124" s="244"/>
      <c r="Q124" s="244"/>
      <c r="R124" s="375">
        <v>32737164</v>
      </c>
      <c r="S124" s="376" t="s">
        <v>258</v>
      </c>
      <c r="T124" s="244"/>
      <c r="U124" s="244"/>
    </row>
    <row r="125" spans="3:21" ht="12.5">
      <c r="C125" s="244"/>
      <c r="D125" s="293"/>
      <c r="E125" s="244"/>
      <c r="F125" s="244"/>
      <c r="G125" s="244"/>
      <c r="H125" s="326"/>
      <c r="I125" s="244"/>
      <c r="J125" s="279"/>
      <c r="K125" s="244"/>
      <c r="L125" s="244"/>
      <c r="M125" s="244"/>
      <c r="N125" s="244"/>
      <c r="P125" s="244"/>
      <c r="Q125" s="244"/>
      <c r="R125" s="244"/>
      <c r="S125" s="244"/>
      <c r="T125" s="244"/>
      <c r="U125" s="244"/>
    </row>
    <row r="126" spans="3:21" ht="13">
      <c r="C126" s="244"/>
      <c r="D126" s="293"/>
      <c r="E126" s="244"/>
      <c r="F126" s="244"/>
      <c r="G126" s="244"/>
      <c r="H126" s="326"/>
      <c r="I126" s="244"/>
      <c r="J126" s="279"/>
      <c r="K126" s="244"/>
      <c r="L126" s="244"/>
      <c r="M126" s="244"/>
      <c r="N126" s="244"/>
      <c r="P126" s="244"/>
      <c r="Q126" s="244"/>
      <c r="R126" s="352" t="s">
        <v>103</v>
      </c>
      <c r="S126" s="244" t="s">
        <v>115</v>
      </c>
      <c r="T126" s="377"/>
      <c r="U126" s="344"/>
    </row>
    <row r="127" spans="3:21" ht="13.5" thickBot="1">
      <c r="C127" s="249"/>
      <c r="D127" s="322"/>
      <c r="E127" s="249"/>
      <c r="F127" s="249"/>
      <c r="G127" s="249"/>
      <c r="H127" s="324"/>
      <c r="I127" s="244"/>
      <c r="J127" s="279"/>
      <c r="K127" s="244"/>
      <c r="L127" s="244"/>
      <c r="M127" s="244"/>
      <c r="N127" s="244"/>
      <c r="P127" s="244"/>
      <c r="Q127" s="244"/>
      <c r="R127" s="354" t="s">
        <v>185</v>
      </c>
      <c r="S127" s="244"/>
      <c r="T127" s="377"/>
      <c r="U127" s="344"/>
    </row>
    <row r="128" spans="3:21" ht="12.5">
      <c r="C128" s="249"/>
      <c r="D128" s="322"/>
      <c r="E128" s="249"/>
      <c r="F128" s="249"/>
      <c r="G128" s="249"/>
      <c r="H128" s="324"/>
      <c r="I128" s="244"/>
      <c r="J128" s="279"/>
      <c r="K128" s="244"/>
      <c r="L128" s="244"/>
      <c r="M128" s="244"/>
      <c r="N128" s="244"/>
      <c r="P128" s="244"/>
      <c r="Q128" s="244"/>
      <c r="R128" s="378">
        <f>+M19</f>
        <v>37932547.547416419</v>
      </c>
      <c r="S128" s="244" t="str">
        <f>+K19&amp;" "&amp;M17</f>
        <v>PROJECTED YEAR Rev Require</v>
      </c>
      <c r="T128" s="377"/>
      <c r="U128" s="344"/>
    </row>
    <row r="129" spans="3:21" ht="12.5">
      <c r="C129" s="249"/>
      <c r="D129" s="322"/>
      <c r="E129" s="249"/>
      <c r="F129" s="249"/>
      <c r="G129" s="249"/>
      <c r="H129" s="324"/>
      <c r="I129" s="244"/>
      <c r="J129" s="279"/>
      <c r="K129" s="244"/>
      <c r="L129" s="244"/>
      <c r="M129" s="244"/>
      <c r="N129" s="244"/>
      <c r="O129" s="244"/>
      <c r="P129" s="244"/>
      <c r="Q129" s="244"/>
      <c r="R129" s="379">
        <f>+N19</f>
        <v>37932547.547416419</v>
      </c>
      <c r="S129" s="244" t="str">
        <f>K19&amp;" "&amp;N17</f>
        <v>PROJECTED YEAR  W Incentives</v>
      </c>
      <c r="T129" s="244"/>
      <c r="U129" s="244"/>
    </row>
    <row r="130" spans="3:21" ht="13" thickBot="1">
      <c r="C130" s="249"/>
      <c r="D130" s="322"/>
      <c r="E130" s="249"/>
      <c r="F130" s="249"/>
      <c r="G130" s="249"/>
      <c r="H130" s="324"/>
      <c r="I130" s="244"/>
      <c r="J130" s="279"/>
      <c r="K130" s="244"/>
      <c r="L130" s="244"/>
      <c r="M130" s="244"/>
      <c r="N130" s="244"/>
      <c r="O130" s="244"/>
      <c r="P130" s="244"/>
      <c r="Q130" s="244"/>
      <c r="R130" s="380">
        <f>+O19</f>
        <v>0</v>
      </c>
      <c r="S130" s="244" t="str">
        <f>K19&amp;" "&amp;O17</f>
        <v>PROJECTED YEAR Incentive Amounts</v>
      </c>
      <c r="T130" s="244"/>
      <c r="U130" s="244"/>
    </row>
    <row r="131" spans="3:21" ht="12.5">
      <c r="C131" s="249"/>
      <c r="D131" s="322"/>
      <c r="E131" s="249"/>
      <c r="F131" s="249"/>
      <c r="G131" s="249"/>
      <c r="H131" s="324"/>
      <c r="I131" s="244"/>
      <c r="J131" s="279"/>
      <c r="K131" s="244"/>
      <c r="L131" s="244"/>
      <c r="M131" s="244"/>
      <c r="N131" s="244"/>
      <c r="O131" s="244"/>
      <c r="P131" s="244"/>
      <c r="Q131" s="244"/>
      <c r="R131" s="244"/>
      <c r="S131" s="244"/>
      <c r="T131" s="244"/>
      <c r="U131" s="244"/>
    </row>
    <row r="132" spans="3:21" ht="12.75" customHeight="1">
      <c r="R132" s="244"/>
      <c r="S132" s="244"/>
    </row>
    <row r="133" spans="3:21" ht="12.75" customHeight="1">
      <c r="R133" s="352" t="s">
        <v>113</v>
      </c>
      <c r="S133" s="353"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163"/>
  <sheetViews>
    <sheetView tabSelected="1" topLeftCell="A88" zoomScale="85" zoomScaleNormal="85"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17 of 20</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11283505.602105767</v>
      </c>
      <c r="P5" s="244"/>
    </row>
    <row r="6" spans="1:16" ht="15.5">
      <c r="C6" s="236"/>
      <c r="D6" s="293"/>
      <c r="E6" s="244"/>
      <c r="F6" s="244"/>
      <c r="G6" s="244"/>
      <c r="H6" s="450"/>
      <c r="I6" s="450"/>
      <c r="J6" s="451"/>
      <c r="K6" s="452" t="s">
        <v>243</v>
      </c>
      <c r="L6" s="453"/>
      <c r="M6" s="279"/>
      <c r="N6" s="454">
        <f>VLOOKUP(I10,C17:I73,6)</f>
        <v>11283505.602105767</v>
      </c>
      <c r="O6" s="244"/>
      <c r="P6" s="244"/>
    </row>
    <row r="7" spans="1:16" ht="13.5" thickBot="1">
      <c r="C7" s="455" t="s">
        <v>46</v>
      </c>
      <c r="D7" s="635" t="s">
        <v>247</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263</v>
      </c>
      <c r="E9" s="466"/>
      <c r="F9" s="466"/>
      <c r="G9" s="466"/>
      <c r="H9" s="466"/>
      <c r="I9" s="467"/>
      <c r="J9" s="468"/>
      <c r="O9" s="469"/>
      <c r="P9" s="279"/>
    </row>
    <row r="10" spans="1:16" ht="13">
      <c r="C10" s="470" t="s">
        <v>49</v>
      </c>
      <c r="D10" s="471">
        <v>87569395</v>
      </c>
      <c r="E10" s="300" t="s">
        <v>50</v>
      </c>
      <c r="F10" s="469"/>
      <c r="G10" s="409"/>
      <c r="H10" s="409"/>
      <c r="I10" s="472">
        <f>+OKT.WS.F.BPU.ATRR.Projected!R100</f>
        <v>2020</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12</v>
      </c>
      <c r="E12" s="473" t="s">
        <v>55</v>
      </c>
      <c r="F12" s="409"/>
      <c r="G12" s="221"/>
      <c r="H12" s="221"/>
      <c r="I12" s="477">
        <f>OKT.WS.F.BPU.ATRR.Projected!$F$78</f>
        <v>0.1064171487591708</v>
      </c>
      <c r="J12" s="414"/>
      <c r="K12" s="145" t="s">
        <v>56</v>
      </c>
      <c r="O12" s="279"/>
      <c r="P12" s="279"/>
    </row>
    <row r="13" spans="1:16"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 thickBot="1">
      <c r="C14" s="473" t="s">
        <v>60</v>
      </c>
      <c r="D14" s="474" t="s">
        <v>61</v>
      </c>
      <c r="E14" s="279" t="s">
        <v>62</v>
      </c>
      <c r="F14" s="409"/>
      <c r="G14" s="221"/>
      <c r="H14" s="221"/>
      <c r="I14" s="478">
        <f>IF(D10=0,0,D10/D13)</f>
        <v>2575570.4411764704</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0</v>
      </c>
      <c r="F17" s="613">
        <v>82823000</v>
      </c>
      <c r="G17" s="621">
        <v>4552779.1652027937</v>
      </c>
      <c r="H17" s="618">
        <v>4552779.1652027937</v>
      </c>
      <c r="I17" s="501">
        <f t="shared" ref="I17:I71" si="1">H17-G17</f>
        <v>0</v>
      </c>
      <c r="J17" s="501"/>
      <c r="K17" s="502">
        <f>+G17</f>
        <v>4552779.1652027937</v>
      </c>
      <c r="L17" s="504">
        <f t="shared" ref="L17:L71" si="2">IF(K17&lt;&gt;0,+G17-K17,0)</f>
        <v>0</v>
      </c>
      <c r="M17" s="502">
        <f>+H17</f>
        <v>4552779.1652027937</v>
      </c>
      <c r="N17" s="504">
        <f t="shared" ref="N17:N71" si="3">IF(M17&lt;&gt;0,+H17-M17,0)</f>
        <v>0</v>
      </c>
      <c r="O17" s="505">
        <f t="shared" ref="O17:O71" si="4">+N17-L17</f>
        <v>0</v>
      </c>
      <c r="P17" s="279"/>
    </row>
    <row r="18" spans="2:16" ht="12.5">
      <c r="B18" s="145" t="str">
        <f t="shared" si="0"/>
        <v/>
      </c>
      <c r="C18" s="496">
        <f>IF(D11="","-",+C17+1)</f>
        <v>2018</v>
      </c>
      <c r="D18" s="615">
        <v>82823000</v>
      </c>
      <c r="E18" s="614">
        <v>2031199.4497102054</v>
      </c>
      <c r="F18" s="615">
        <v>80791800.550289795</v>
      </c>
      <c r="G18" s="614">
        <v>11642834.922050247</v>
      </c>
      <c r="H18" s="618">
        <v>11642834.922050247</v>
      </c>
      <c r="I18" s="501">
        <f t="shared" si="1"/>
        <v>0</v>
      </c>
      <c r="J18" s="501"/>
      <c r="K18" s="593">
        <f>+G18</f>
        <v>11642834.922050247</v>
      </c>
      <c r="L18" s="597">
        <f t="shared" si="2"/>
        <v>0</v>
      </c>
      <c r="M18" s="593">
        <f>+H18</f>
        <v>11642834.922050247</v>
      </c>
      <c r="N18" s="505">
        <f t="shared" si="3"/>
        <v>0</v>
      </c>
      <c r="O18" s="505">
        <f t="shared" si="4"/>
        <v>0</v>
      </c>
      <c r="P18" s="279"/>
    </row>
    <row r="19" spans="2:16" ht="12.5">
      <c r="B19" s="145" t="str">
        <f t="shared" si="0"/>
        <v/>
      </c>
      <c r="C19" s="496">
        <f>IF(D11="","-",+C18+1)</f>
        <v>2019</v>
      </c>
      <c r="D19" s="615">
        <v>80791800.550289795</v>
      </c>
      <c r="E19" s="614">
        <v>2031199.4497102054</v>
      </c>
      <c r="F19" s="615">
        <v>78760601.10057959</v>
      </c>
      <c r="G19" s="614">
        <v>11404187.212716255</v>
      </c>
      <c r="H19" s="618">
        <v>11404187.212716255</v>
      </c>
      <c r="I19" s="501">
        <f t="shared" si="1"/>
        <v>0</v>
      </c>
      <c r="J19" s="501"/>
      <c r="K19" s="593">
        <f>+G19</f>
        <v>11404187.212716255</v>
      </c>
      <c r="L19" s="597">
        <f t="shared" ref="L19" si="5">IF(K19&lt;&gt;0,+G19-K19,0)</f>
        <v>0</v>
      </c>
      <c r="M19" s="593">
        <f>+H19</f>
        <v>11404187.212716255</v>
      </c>
      <c r="N19" s="505">
        <f t="shared" ref="N19" si="6">IF(M19&lt;&gt;0,+H19-M19,0)</f>
        <v>0</v>
      </c>
      <c r="O19" s="505">
        <f t="shared" ref="O19" si="7">+N19-L19</f>
        <v>0</v>
      </c>
      <c r="P19" s="279"/>
    </row>
    <row r="20" spans="2:16" ht="12.5">
      <c r="B20" s="145" t="str">
        <f t="shared" si="0"/>
        <v>IU</v>
      </c>
      <c r="C20" s="496">
        <f>IF(D11="","-",+C19+1)</f>
        <v>2020</v>
      </c>
      <c r="D20" s="615">
        <v>84194797.10057959</v>
      </c>
      <c r="E20" s="614">
        <v>2584327.8381604804</v>
      </c>
      <c r="F20" s="615">
        <v>81610469.262419105</v>
      </c>
      <c r="G20" s="614">
        <v>11283505.602105767</v>
      </c>
      <c r="H20" s="618">
        <v>11283505.602105767</v>
      </c>
      <c r="I20" s="501">
        <f t="shared" si="1"/>
        <v>0</v>
      </c>
      <c r="J20" s="501"/>
      <c r="K20" s="593">
        <f>+G20</f>
        <v>11283505.602105767</v>
      </c>
      <c r="L20" s="597">
        <f t="shared" ref="L20" si="8">IF(K20&lt;&gt;0,+G20-K20,0)</f>
        <v>0</v>
      </c>
      <c r="M20" s="593">
        <f>+H20</f>
        <v>11283505.602105767</v>
      </c>
      <c r="N20" s="505">
        <f t="shared" si="3"/>
        <v>0</v>
      </c>
      <c r="O20" s="505">
        <f t="shared" si="4"/>
        <v>0</v>
      </c>
      <c r="P20" s="279"/>
    </row>
    <row r="21" spans="2:16" ht="12.5">
      <c r="B21" s="145" t="str">
        <f t="shared" si="0"/>
        <v>IU</v>
      </c>
      <c r="C21" s="496">
        <f>IF(D11="","-",+C20+1)</f>
        <v>2021</v>
      </c>
      <c r="D21" s="509">
        <f>IF(F20+SUM(E$17:E20)=D$10,F20,D$10-SUM(E$17:E20))</f>
        <v>80922668.262419105</v>
      </c>
      <c r="E21" s="510">
        <f t="shared" ref="E21:E49" si="9">IF(+I$14&lt;F20,I$14,D21)</f>
        <v>2575570.4411764704</v>
      </c>
      <c r="F21" s="511">
        <f t="shared" ref="F21:F71" si="10">+D21-E21</f>
        <v>78347097.82124263</v>
      </c>
      <c r="G21" s="512">
        <f t="shared" ref="G21:G71" si="11">(D21+F21)/2*I$12+E21</f>
        <v>11050087.636258153</v>
      </c>
      <c r="H21" s="478">
        <f t="shared" ref="H21:H71" si="12">+(D21+F21)/2*I$13+E21</f>
        <v>11050087.636258153</v>
      </c>
      <c r="I21" s="501">
        <f t="shared" si="1"/>
        <v>0</v>
      </c>
      <c r="J21" s="501"/>
      <c r="K21" s="513"/>
      <c r="L21" s="505">
        <f t="shared" si="2"/>
        <v>0</v>
      </c>
      <c r="M21" s="513"/>
      <c r="N21" s="505">
        <f t="shared" si="3"/>
        <v>0</v>
      </c>
      <c r="O21" s="505">
        <f t="shared" si="4"/>
        <v>0</v>
      </c>
      <c r="P21" s="279"/>
    </row>
    <row r="22" spans="2:16" ht="12.5">
      <c r="B22" s="145" t="str">
        <f t="shared" si="0"/>
        <v/>
      </c>
      <c r="C22" s="496">
        <f>IF(D11="","-",+C21+1)</f>
        <v>2022</v>
      </c>
      <c r="D22" s="509">
        <f>IF(F21+SUM(E$17:E21)=D$10,F21,D$10-SUM(E$17:E21))</f>
        <v>78347097.82124263</v>
      </c>
      <c r="E22" s="510">
        <f t="shared" si="9"/>
        <v>2575570.4411764704</v>
      </c>
      <c r="F22" s="511">
        <f t="shared" si="10"/>
        <v>75771527.380066156</v>
      </c>
      <c r="G22" s="512">
        <f t="shared" si="11"/>
        <v>10776002.773479754</v>
      </c>
      <c r="H22" s="478">
        <f t="shared" si="12"/>
        <v>10776002.773479754</v>
      </c>
      <c r="I22" s="501">
        <f t="shared" si="1"/>
        <v>0</v>
      </c>
      <c r="J22" s="501"/>
      <c r="K22" s="513"/>
      <c r="L22" s="505">
        <f t="shared" si="2"/>
        <v>0</v>
      </c>
      <c r="M22" s="513"/>
      <c r="N22" s="505">
        <f t="shared" si="3"/>
        <v>0</v>
      </c>
      <c r="O22" s="505">
        <f t="shared" si="4"/>
        <v>0</v>
      </c>
      <c r="P22" s="279"/>
    </row>
    <row r="23" spans="2:16" ht="12.5">
      <c r="B23" s="145" t="str">
        <f t="shared" si="0"/>
        <v/>
      </c>
      <c r="C23" s="496">
        <f>IF(D11="","-",+C22+1)</f>
        <v>2023</v>
      </c>
      <c r="D23" s="509">
        <f>IF(F22+SUM(E$17:E22)=D$10,F22,D$10-SUM(E$17:E22))</f>
        <v>75771527.380066156</v>
      </c>
      <c r="E23" s="510">
        <f t="shared" si="9"/>
        <v>2575570.4411764704</v>
      </c>
      <c r="F23" s="511">
        <f t="shared" si="10"/>
        <v>73195956.938889682</v>
      </c>
      <c r="G23" s="512">
        <f t="shared" si="11"/>
        <v>10501917.910701353</v>
      </c>
      <c r="H23" s="478">
        <f t="shared" si="12"/>
        <v>10501917.910701353</v>
      </c>
      <c r="I23" s="501">
        <f t="shared" si="1"/>
        <v>0</v>
      </c>
      <c r="J23" s="501"/>
      <c r="K23" s="513"/>
      <c r="L23" s="505">
        <f t="shared" si="2"/>
        <v>0</v>
      </c>
      <c r="M23" s="513"/>
      <c r="N23" s="505">
        <f t="shared" si="3"/>
        <v>0</v>
      </c>
      <c r="O23" s="505">
        <f t="shared" si="4"/>
        <v>0</v>
      </c>
      <c r="P23" s="279"/>
    </row>
    <row r="24" spans="2:16" ht="12.5">
      <c r="B24" s="145" t="str">
        <f t="shared" si="0"/>
        <v/>
      </c>
      <c r="C24" s="496">
        <f>IF(D11="","-",+C23+1)</f>
        <v>2024</v>
      </c>
      <c r="D24" s="509">
        <f>IF(F23+SUM(E$17:E23)=D$10,F23,D$10-SUM(E$17:E23))</f>
        <v>73195956.938889682</v>
      </c>
      <c r="E24" s="510">
        <f t="shared" si="9"/>
        <v>2575570.4411764704</v>
      </c>
      <c r="F24" s="511">
        <f t="shared" si="10"/>
        <v>70620386.497713208</v>
      </c>
      <c r="G24" s="512">
        <f t="shared" si="11"/>
        <v>10227833.047922954</v>
      </c>
      <c r="H24" s="478">
        <f t="shared" si="12"/>
        <v>10227833.047922954</v>
      </c>
      <c r="I24" s="501">
        <f t="shared" si="1"/>
        <v>0</v>
      </c>
      <c r="J24" s="501"/>
      <c r="K24" s="513"/>
      <c r="L24" s="505">
        <f t="shared" si="2"/>
        <v>0</v>
      </c>
      <c r="M24" s="513"/>
      <c r="N24" s="505">
        <f t="shared" si="3"/>
        <v>0</v>
      </c>
      <c r="O24" s="505">
        <f t="shared" si="4"/>
        <v>0</v>
      </c>
      <c r="P24" s="279"/>
    </row>
    <row r="25" spans="2:16" ht="12.5">
      <c r="B25" s="145" t="str">
        <f t="shared" si="0"/>
        <v/>
      </c>
      <c r="C25" s="496">
        <f>IF(D11="","-",+C24+1)</f>
        <v>2025</v>
      </c>
      <c r="D25" s="509">
        <f>IF(F24+SUM(E$17:E24)=D$10,F24,D$10-SUM(E$17:E24))</f>
        <v>70620386.497713208</v>
      </c>
      <c r="E25" s="510">
        <f t="shared" si="9"/>
        <v>2575570.4411764704</v>
      </c>
      <c r="F25" s="511">
        <f t="shared" si="10"/>
        <v>68044816.056536734</v>
      </c>
      <c r="G25" s="512">
        <f t="shared" si="11"/>
        <v>9953748.1851445548</v>
      </c>
      <c r="H25" s="478">
        <f t="shared" si="12"/>
        <v>9953748.1851445548</v>
      </c>
      <c r="I25" s="501">
        <f t="shared" si="1"/>
        <v>0</v>
      </c>
      <c r="J25" s="501"/>
      <c r="K25" s="513"/>
      <c r="L25" s="505">
        <f t="shared" si="2"/>
        <v>0</v>
      </c>
      <c r="M25" s="513"/>
      <c r="N25" s="505">
        <f t="shared" si="3"/>
        <v>0</v>
      </c>
      <c r="O25" s="505">
        <f t="shared" si="4"/>
        <v>0</v>
      </c>
      <c r="P25" s="279"/>
    </row>
    <row r="26" spans="2:16" ht="12.5">
      <c r="B26" s="145" t="str">
        <f t="shared" si="0"/>
        <v/>
      </c>
      <c r="C26" s="496">
        <f>IF(D11="","-",+C25+1)</f>
        <v>2026</v>
      </c>
      <c r="D26" s="509">
        <f>IF(F25+SUM(E$17:E25)=D$10,F25,D$10-SUM(E$17:E25))</f>
        <v>68044816.056536734</v>
      </c>
      <c r="E26" s="510">
        <f t="shared" si="9"/>
        <v>2575570.4411764704</v>
      </c>
      <c r="F26" s="511">
        <f t="shared" si="10"/>
        <v>65469245.61536026</v>
      </c>
      <c r="G26" s="512">
        <f t="shared" si="11"/>
        <v>9679663.3223661538</v>
      </c>
      <c r="H26" s="478">
        <f t="shared" si="12"/>
        <v>9679663.3223661538</v>
      </c>
      <c r="I26" s="501">
        <f t="shared" si="1"/>
        <v>0</v>
      </c>
      <c r="J26" s="501"/>
      <c r="K26" s="513"/>
      <c r="L26" s="505">
        <f t="shared" si="2"/>
        <v>0</v>
      </c>
      <c r="M26" s="513"/>
      <c r="N26" s="505">
        <f t="shared" si="3"/>
        <v>0</v>
      </c>
      <c r="O26" s="505">
        <f t="shared" si="4"/>
        <v>0</v>
      </c>
      <c r="P26" s="279"/>
    </row>
    <row r="27" spans="2:16" ht="12.5">
      <c r="B27" s="145" t="str">
        <f t="shared" si="0"/>
        <v/>
      </c>
      <c r="C27" s="496">
        <f>IF(D11="","-",+C26+1)</f>
        <v>2027</v>
      </c>
      <c r="D27" s="509">
        <f>IF(F26+SUM(E$17:E26)=D$10,F26,D$10-SUM(E$17:E26))</f>
        <v>65469245.61536026</v>
      </c>
      <c r="E27" s="510">
        <f t="shared" si="9"/>
        <v>2575570.4411764704</v>
      </c>
      <c r="F27" s="511">
        <f t="shared" si="10"/>
        <v>62893675.174183786</v>
      </c>
      <c r="G27" s="512">
        <f t="shared" si="11"/>
        <v>9405578.4595877528</v>
      </c>
      <c r="H27" s="478">
        <f t="shared" si="12"/>
        <v>9405578.4595877528</v>
      </c>
      <c r="I27" s="501">
        <f t="shared" si="1"/>
        <v>0</v>
      </c>
      <c r="J27" s="501"/>
      <c r="K27" s="513"/>
      <c r="L27" s="505">
        <f t="shared" si="2"/>
        <v>0</v>
      </c>
      <c r="M27" s="513"/>
      <c r="N27" s="505">
        <f t="shared" si="3"/>
        <v>0</v>
      </c>
      <c r="O27" s="505">
        <f t="shared" si="4"/>
        <v>0</v>
      </c>
      <c r="P27" s="279"/>
    </row>
    <row r="28" spans="2:16" ht="12.5">
      <c r="B28" s="145" t="str">
        <f t="shared" si="0"/>
        <v/>
      </c>
      <c r="C28" s="496">
        <f>IF(D11="","-",+C27+1)</f>
        <v>2028</v>
      </c>
      <c r="D28" s="509">
        <f>IF(F27+SUM(E$17:E27)=D$10,F27,D$10-SUM(E$17:E27))</f>
        <v>62893675.174183786</v>
      </c>
      <c r="E28" s="510">
        <f t="shared" si="9"/>
        <v>2575570.4411764704</v>
      </c>
      <c r="F28" s="511">
        <f t="shared" si="10"/>
        <v>60318104.733007312</v>
      </c>
      <c r="G28" s="512">
        <f t="shared" si="11"/>
        <v>9131493.5968093537</v>
      </c>
      <c r="H28" s="478">
        <f t="shared" si="12"/>
        <v>9131493.5968093537</v>
      </c>
      <c r="I28" s="501">
        <f t="shared" si="1"/>
        <v>0</v>
      </c>
      <c r="J28" s="501"/>
      <c r="K28" s="513"/>
      <c r="L28" s="505">
        <f t="shared" si="2"/>
        <v>0</v>
      </c>
      <c r="M28" s="513"/>
      <c r="N28" s="505">
        <f t="shared" si="3"/>
        <v>0</v>
      </c>
      <c r="O28" s="505">
        <f t="shared" si="4"/>
        <v>0</v>
      </c>
      <c r="P28" s="279"/>
    </row>
    <row r="29" spans="2:16" ht="12.5">
      <c r="B29" s="145" t="str">
        <f t="shared" si="0"/>
        <v/>
      </c>
      <c r="C29" s="496">
        <f>IF(D11="","-",+C28+1)</f>
        <v>2029</v>
      </c>
      <c r="D29" s="509">
        <f>IF(F28+SUM(E$17:E28)=D$10,F28,D$10-SUM(E$17:E28))</f>
        <v>60318104.733007312</v>
      </c>
      <c r="E29" s="510">
        <f t="shared" si="9"/>
        <v>2575570.4411764704</v>
      </c>
      <c r="F29" s="511">
        <f t="shared" si="10"/>
        <v>57742534.291830838</v>
      </c>
      <c r="G29" s="512">
        <f t="shared" si="11"/>
        <v>8857408.7340309545</v>
      </c>
      <c r="H29" s="478">
        <f t="shared" si="12"/>
        <v>8857408.7340309545</v>
      </c>
      <c r="I29" s="501">
        <f t="shared" si="1"/>
        <v>0</v>
      </c>
      <c r="J29" s="501"/>
      <c r="K29" s="513"/>
      <c r="L29" s="505">
        <f t="shared" si="2"/>
        <v>0</v>
      </c>
      <c r="M29" s="513"/>
      <c r="N29" s="505">
        <f t="shared" si="3"/>
        <v>0</v>
      </c>
      <c r="O29" s="505">
        <f t="shared" si="4"/>
        <v>0</v>
      </c>
      <c r="P29" s="279"/>
    </row>
    <row r="30" spans="2:16" ht="12.5">
      <c r="B30" s="145" t="str">
        <f t="shared" si="0"/>
        <v/>
      </c>
      <c r="C30" s="496">
        <f>IF(D11="","-",+C29+1)</f>
        <v>2030</v>
      </c>
      <c r="D30" s="509">
        <f>IF(F29+SUM(E$17:E29)=D$10,F29,D$10-SUM(E$17:E29))</f>
        <v>57742534.291830838</v>
      </c>
      <c r="E30" s="510">
        <f t="shared" si="9"/>
        <v>2575570.4411764704</v>
      </c>
      <c r="F30" s="511">
        <f t="shared" si="10"/>
        <v>55166963.850654364</v>
      </c>
      <c r="G30" s="512">
        <f t="shared" si="11"/>
        <v>8583323.8712525535</v>
      </c>
      <c r="H30" s="478">
        <f t="shared" si="12"/>
        <v>8583323.8712525535</v>
      </c>
      <c r="I30" s="501">
        <f t="shared" si="1"/>
        <v>0</v>
      </c>
      <c r="J30" s="501"/>
      <c r="K30" s="513"/>
      <c r="L30" s="505">
        <f t="shared" si="2"/>
        <v>0</v>
      </c>
      <c r="M30" s="513"/>
      <c r="N30" s="505">
        <f t="shared" si="3"/>
        <v>0</v>
      </c>
      <c r="O30" s="505">
        <f t="shared" si="4"/>
        <v>0</v>
      </c>
      <c r="P30" s="279"/>
    </row>
    <row r="31" spans="2:16" ht="12.5">
      <c r="B31" s="145" t="str">
        <f t="shared" si="0"/>
        <v/>
      </c>
      <c r="C31" s="496">
        <f>IF(D11="","-",+C30+1)</f>
        <v>2031</v>
      </c>
      <c r="D31" s="509">
        <f>IF(F30+SUM(E$17:E30)=D$10,F30,D$10-SUM(E$17:E30))</f>
        <v>55166963.850654364</v>
      </c>
      <c r="E31" s="510">
        <f t="shared" si="9"/>
        <v>2575570.4411764704</v>
      </c>
      <c r="F31" s="511">
        <f t="shared" si="10"/>
        <v>52591393.40947789</v>
      </c>
      <c r="G31" s="512">
        <f t="shared" si="11"/>
        <v>8309239.0084741535</v>
      </c>
      <c r="H31" s="478">
        <f t="shared" si="12"/>
        <v>8309239.0084741535</v>
      </c>
      <c r="I31" s="501">
        <f t="shared" si="1"/>
        <v>0</v>
      </c>
      <c r="J31" s="501"/>
      <c r="K31" s="513"/>
      <c r="L31" s="505">
        <f t="shared" si="2"/>
        <v>0</v>
      </c>
      <c r="M31" s="513"/>
      <c r="N31" s="505">
        <f t="shared" si="3"/>
        <v>0</v>
      </c>
      <c r="O31" s="505">
        <f t="shared" si="4"/>
        <v>0</v>
      </c>
      <c r="P31" s="279"/>
    </row>
    <row r="32" spans="2:16" ht="12.5">
      <c r="B32" s="145" t="str">
        <f t="shared" si="0"/>
        <v/>
      </c>
      <c r="C32" s="496">
        <f>IF(D11="","-",+C31+1)</f>
        <v>2032</v>
      </c>
      <c r="D32" s="509">
        <f>IF(F31+SUM(E$17:E31)=D$10,F31,D$10-SUM(E$17:E31))</f>
        <v>52591393.40947789</v>
      </c>
      <c r="E32" s="510">
        <f t="shared" si="9"/>
        <v>2575570.4411764704</v>
      </c>
      <c r="F32" s="511">
        <f t="shared" si="10"/>
        <v>50015822.968301415</v>
      </c>
      <c r="G32" s="512">
        <f t="shared" si="11"/>
        <v>8035154.1456957534</v>
      </c>
      <c r="H32" s="478">
        <f t="shared" si="12"/>
        <v>8035154.1456957534</v>
      </c>
      <c r="I32" s="501">
        <f t="shared" si="1"/>
        <v>0</v>
      </c>
      <c r="J32" s="501"/>
      <c r="K32" s="513"/>
      <c r="L32" s="505">
        <f t="shared" si="2"/>
        <v>0</v>
      </c>
      <c r="M32" s="513"/>
      <c r="N32" s="505">
        <f t="shared" si="3"/>
        <v>0</v>
      </c>
      <c r="O32" s="505">
        <f t="shared" si="4"/>
        <v>0</v>
      </c>
      <c r="P32" s="279"/>
    </row>
    <row r="33" spans="2:16" ht="12.5">
      <c r="B33" s="145" t="str">
        <f t="shared" si="0"/>
        <v/>
      </c>
      <c r="C33" s="496">
        <f>IF(D11="","-",+C32+1)</f>
        <v>2033</v>
      </c>
      <c r="D33" s="509">
        <f>IF(F32+SUM(E$17:E32)=D$10,F32,D$10-SUM(E$17:E32))</f>
        <v>50015822.968301415</v>
      </c>
      <c r="E33" s="510">
        <f t="shared" si="9"/>
        <v>2575570.4411764704</v>
      </c>
      <c r="F33" s="511">
        <f t="shared" si="10"/>
        <v>47440252.527124941</v>
      </c>
      <c r="G33" s="512">
        <f t="shared" si="11"/>
        <v>7761069.2829173533</v>
      </c>
      <c r="H33" s="478">
        <f t="shared" si="12"/>
        <v>7761069.2829173533</v>
      </c>
      <c r="I33" s="501">
        <f t="shared" si="1"/>
        <v>0</v>
      </c>
      <c r="J33" s="501"/>
      <c r="K33" s="513"/>
      <c r="L33" s="505">
        <f t="shared" si="2"/>
        <v>0</v>
      </c>
      <c r="M33" s="513"/>
      <c r="N33" s="505">
        <f t="shared" si="3"/>
        <v>0</v>
      </c>
      <c r="O33" s="505">
        <f t="shared" si="4"/>
        <v>0</v>
      </c>
      <c r="P33" s="279"/>
    </row>
    <row r="34" spans="2:16" ht="12.5">
      <c r="B34" s="145" t="str">
        <f t="shared" si="0"/>
        <v/>
      </c>
      <c r="C34" s="496">
        <f>IF(D11="","-",+C33+1)</f>
        <v>2034</v>
      </c>
      <c r="D34" s="509">
        <f>IF(F33+SUM(E$17:E33)=D$10,F33,D$10-SUM(E$17:E33))</f>
        <v>47440252.527124941</v>
      </c>
      <c r="E34" s="510">
        <f t="shared" si="9"/>
        <v>2575570.4411764704</v>
      </c>
      <c r="F34" s="511">
        <f t="shared" si="10"/>
        <v>44864682.085948467</v>
      </c>
      <c r="G34" s="512">
        <f t="shared" si="11"/>
        <v>7486984.4201389533</v>
      </c>
      <c r="H34" s="478">
        <f t="shared" si="12"/>
        <v>7486984.4201389533</v>
      </c>
      <c r="I34" s="501">
        <f t="shared" si="1"/>
        <v>0</v>
      </c>
      <c r="J34" s="501"/>
      <c r="K34" s="513"/>
      <c r="L34" s="505">
        <f t="shared" si="2"/>
        <v>0</v>
      </c>
      <c r="M34" s="513"/>
      <c r="N34" s="505">
        <f t="shared" si="3"/>
        <v>0</v>
      </c>
      <c r="O34" s="505">
        <f t="shared" si="4"/>
        <v>0</v>
      </c>
      <c r="P34" s="279"/>
    </row>
    <row r="35" spans="2:16" ht="12.5">
      <c r="B35" s="145" t="str">
        <f t="shared" si="0"/>
        <v/>
      </c>
      <c r="C35" s="496">
        <f>IF(D11="","-",+C34+1)</f>
        <v>2035</v>
      </c>
      <c r="D35" s="509">
        <f>IF(F34+SUM(E$17:E34)=D$10,F34,D$10-SUM(E$17:E34))</f>
        <v>44864682.085948467</v>
      </c>
      <c r="E35" s="510">
        <f t="shared" si="9"/>
        <v>2575570.4411764704</v>
      </c>
      <c r="F35" s="511">
        <f t="shared" si="10"/>
        <v>42289111.644771993</v>
      </c>
      <c r="G35" s="512">
        <f t="shared" si="11"/>
        <v>7212899.5573605541</v>
      </c>
      <c r="H35" s="478">
        <f t="shared" si="12"/>
        <v>7212899.5573605541</v>
      </c>
      <c r="I35" s="501">
        <f t="shared" si="1"/>
        <v>0</v>
      </c>
      <c r="J35" s="501"/>
      <c r="K35" s="513"/>
      <c r="L35" s="505">
        <f t="shared" si="2"/>
        <v>0</v>
      </c>
      <c r="M35" s="513"/>
      <c r="N35" s="505">
        <f t="shared" si="3"/>
        <v>0</v>
      </c>
      <c r="O35" s="505">
        <f t="shared" si="4"/>
        <v>0</v>
      </c>
      <c r="P35" s="279"/>
    </row>
    <row r="36" spans="2:16" ht="12.5">
      <c r="B36" s="145" t="str">
        <f t="shared" si="0"/>
        <v/>
      </c>
      <c r="C36" s="496">
        <f>IF(D11="","-",+C35+1)</f>
        <v>2036</v>
      </c>
      <c r="D36" s="509">
        <f>IF(F35+SUM(E$17:E35)=D$10,F35,D$10-SUM(E$17:E35))</f>
        <v>42289111.644771993</v>
      </c>
      <c r="E36" s="510">
        <f t="shared" si="9"/>
        <v>2575570.4411764704</v>
      </c>
      <c r="F36" s="511">
        <f t="shared" si="10"/>
        <v>39713541.203595519</v>
      </c>
      <c r="G36" s="512">
        <f t="shared" si="11"/>
        <v>6938814.694582154</v>
      </c>
      <c r="H36" s="478">
        <f t="shared" si="12"/>
        <v>6938814.694582154</v>
      </c>
      <c r="I36" s="501">
        <f t="shared" si="1"/>
        <v>0</v>
      </c>
      <c r="J36" s="501"/>
      <c r="K36" s="513"/>
      <c r="L36" s="505">
        <f t="shared" si="2"/>
        <v>0</v>
      </c>
      <c r="M36" s="513"/>
      <c r="N36" s="505">
        <f t="shared" si="3"/>
        <v>0</v>
      </c>
      <c r="O36" s="505">
        <f t="shared" si="4"/>
        <v>0</v>
      </c>
      <c r="P36" s="279"/>
    </row>
    <row r="37" spans="2:16" ht="12.5">
      <c r="B37" s="145" t="str">
        <f t="shared" si="0"/>
        <v/>
      </c>
      <c r="C37" s="496">
        <f>IF(D11="","-",+C36+1)</f>
        <v>2037</v>
      </c>
      <c r="D37" s="509">
        <f>IF(F36+SUM(E$17:E36)=D$10,F36,D$10-SUM(E$17:E36))</f>
        <v>39713541.203595519</v>
      </c>
      <c r="E37" s="510">
        <f t="shared" si="9"/>
        <v>2575570.4411764704</v>
      </c>
      <c r="F37" s="511">
        <f t="shared" si="10"/>
        <v>37137970.762419045</v>
      </c>
      <c r="G37" s="512">
        <f t="shared" si="11"/>
        <v>6664729.831803754</v>
      </c>
      <c r="H37" s="478">
        <f t="shared" si="12"/>
        <v>6664729.831803754</v>
      </c>
      <c r="I37" s="501">
        <f t="shared" si="1"/>
        <v>0</v>
      </c>
      <c r="J37" s="501"/>
      <c r="K37" s="513"/>
      <c r="L37" s="505">
        <f t="shared" si="2"/>
        <v>0</v>
      </c>
      <c r="M37" s="513"/>
      <c r="N37" s="505">
        <f t="shared" si="3"/>
        <v>0</v>
      </c>
      <c r="O37" s="505">
        <f t="shared" si="4"/>
        <v>0</v>
      </c>
      <c r="P37" s="279"/>
    </row>
    <row r="38" spans="2:16" ht="12.5">
      <c r="B38" s="145" t="str">
        <f t="shared" si="0"/>
        <v/>
      </c>
      <c r="C38" s="496">
        <f>IF(D11="","-",+C37+1)</f>
        <v>2038</v>
      </c>
      <c r="D38" s="509">
        <f>IF(F37+SUM(E$17:E37)=D$10,F37,D$10-SUM(E$17:E37))</f>
        <v>37137970.762419045</v>
      </c>
      <c r="E38" s="510">
        <f t="shared" si="9"/>
        <v>2575570.4411764704</v>
      </c>
      <c r="F38" s="511">
        <f t="shared" si="10"/>
        <v>34562400.321242571</v>
      </c>
      <c r="G38" s="512">
        <f t="shared" si="11"/>
        <v>6390644.969025353</v>
      </c>
      <c r="H38" s="478">
        <f t="shared" si="12"/>
        <v>6390644.969025353</v>
      </c>
      <c r="I38" s="501">
        <f t="shared" si="1"/>
        <v>0</v>
      </c>
      <c r="J38" s="501"/>
      <c r="K38" s="513"/>
      <c r="L38" s="505">
        <f t="shared" si="2"/>
        <v>0</v>
      </c>
      <c r="M38" s="513"/>
      <c r="N38" s="505">
        <f t="shared" si="3"/>
        <v>0</v>
      </c>
      <c r="O38" s="505">
        <f t="shared" si="4"/>
        <v>0</v>
      </c>
      <c r="P38" s="279"/>
    </row>
    <row r="39" spans="2:16" ht="12.5">
      <c r="B39" s="145" t="str">
        <f t="shared" si="0"/>
        <v/>
      </c>
      <c r="C39" s="496">
        <f>IF(D11="","-",+C38+1)</f>
        <v>2039</v>
      </c>
      <c r="D39" s="509">
        <f>IF(F38+SUM(E$17:E38)=D$10,F38,D$10-SUM(E$17:E38))</f>
        <v>34562400.321242571</v>
      </c>
      <c r="E39" s="510">
        <f t="shared" si="9"/>
        <v>2575570.4411764704</v>
      </c>
      <c r="F39" s="511">
        <f t="shared" si="10"/>
        <v>31986829.880066101</v>
      </c>
      <c r="G39" s="512">
        <f t="shared" si="11"/>
        <v>6116560.1062469538</v>
      </c>
      <c r="H39" s="478">
        <f t="shared" si="12"/>
        <v>6116560.1062469538</v>
      </c>
      <c r="I39" s="501">
        <f t="shared" si="1"/>
        <v>0</v>
      </c>
      <c r="J39" s="501"/>
      <c r="K39" s="513"/>
      <c r="L39" s="505">
        <f t="shared" si="2"/>
        <v>0</v>
      </c>
      <c r="M39" s="513"/>
      <c r="N39" s="505">
        <f t="shared" si="3"/>
        <v>0</v>
      </c>
      <c r="O39" s="505">
        <f t="shared" si="4"/>
        <v>0</v>
      </c>
      <c r="P39" s="279"/>
    </row>
    <row r="40" spans="2:16" ht="12.5">
      <c r="B40" s="145" t="str">
        <f t="shared" si="0"/>
        <v/>
      </c>
      <c r="C40" s="496">
        <f>IF(D11="","-",+C39+1)</f>
        <v>2040</v>
      </c>
      <c r="D40" s="509">
        <f>IF(F39+SUM(E$17:E39)=D$10,F39,D$10-SUM(E$17:E39))</f>
        <v>31986829.880066101</v>
      </c>
      <c r="E40" s="510">
        <f t="shared" si="9"/>
        <v>2575570.4411764704</v>
      </c>
      <c r="F40" s="511">
        <f t="shared" si="10"/>
        <v>29411259.43888963</v>
      </c>
      <c r="G40" s="512">
        <f t="shared" si="11"/>
        <v>5842475.2434685547</v>
      </c>
      <c r="H40" s="478">
        <f t="shared" si="12"/>
        <v>5842475.2434685547</v>
      </c>
      <c r="I40" s="501">
        <f t="shared" si="1"/>
        <v>0</v>
      </c>
      <c r="J40" s="501"/>
      <c r="K40" s="513"/>
      <c r="L40" s="505">
        <f t="shared" si="2"/>
        <v>0</v>
      </c>
      <c r="M40" s="513"/>
      <c r="N40" s="505">
        <f t="shared" si="3"/>
        <v>0</v>
      </c>
      <c r="O40" s="505">
        <f t="shared" si="4"/>
        <v>0</v>
      </c>
      <c r="P40" s="279"/>
    </row>
    <row r="41" spans="2:16" ht="12.5">
      <c r="B41" s="145" t="str">
        <f t="shared" si="0"/>
        <v/>
      </c>
      <c r="C41" s="496">
        <f>IF(D11="","-",+C40+1)</f>
        <v>2041</v>
      </c>
      <c r="D41" s="509">
        <f>IF(F40+SUM(E$17:E40)=D$10,F40,D$10-SUM(E$17:E40))</f>
        <v>29411259.43888963</v>
      </c>
      <c r="E41" s="510">
        <f t="shared" si="9"/>
        <v>2575570.4411764704</v>
      </c>
      <c r="F41" s="511">
        <f t="shared" si="10"/>
        <v>26835688.99771316</v>
      </c>
      <c r="G41" s="512">
        <f t="shared" si="11"/>
        <v>5568390.3806901546</v>
      </c>
      <c r="H41" s="478">
        <f t="shared" si="12"/>
        <v>5568390.3806901546</v>
      </c>
      <c r="I41" s="501">
        <f t="shared" si="1"/>
        <v>0</v>
      </c>
      <c r="J41" s="501"/>
      <c r="K41" s="513"/>
      <c r="L41" s="505">
        <f t="shared" si="2"/>
        <v>0</v>
      </c>
      <c r="M41" s="513"/>
      <c r="N41" s="505">
        <f t="shared" si="3"/>
        <v>0</v>
      </c>
      <c r="O41" s="505">
        <f t="shared" si="4"/>
        <v>0</v>
      </c>
      <c r="P41" s="279"/>
    </row>
    <row r="42" spans="2:16" ht="12.5">
      <c r="B42" s="145" t="str">
        <f t="shared" si="0"/>
        <v/>
      </c>
      <c r="C42" s="496">
        <f>IF(D11="","-",+C41+1)</f>
        <v>2042</v>
      </c>
      <c r="D42" s="509">
        <f>IF(F41+SUM(E$17:E41)=D$10,F41,D$10-SUM(E$17:E41))</f>
        <v>26835688.99771316</v>
      </c>
      <c r="E42" s="510">
        <f t="shared" si="9"/>
        <v>2575570.4411764704</v>
      </c>
      <c r="F42" s="511">
        <f t="shared" si="10"/>
        <v>24260118.556536689</v>
      </c>
      <c r="G42" s="512">
        <f t="shared" si="11"/>
        <v>5294305.5179117545</v>
      </c>
      <c r="H42" s="478">
        <f t="shared" si="12"/>
        <v>5294305.5179117545</v>
      </c>
      <c r="I42" s="501">
        <f t="shared" si="1"/>
        <v>0</v>
      </c>
      <c r="J42" s="501"/>
      <c r="K42" s="513"/>
      <c r="L42" s="505">
        <f t="shared" si="2"/>
        <v>0</v>
      </c>
      <c r="M42" s="513"/>
      <c r="N42" s="505">
        <f t="shared" si="3"/>
        <v>0</v>
      </c>
      <c r="O42" s="505">
        <f t="shared" si="4"/>
        <v>0</v>
      </c>
      <c r="P42" s="279"/>
    </row>
    <row r="43" spans="2:16" ht="12.5">
      <c r="B43" s="145" t="str">
        <f t="shared" si="0"/>
        <v/>
      </c>
      <c r="C43" s="496">
        <f>IF(D11="","-",+C42+1)</f>
        <v>2043</v>
      </c>
      <c r="D43" s="509">
        <f>IF(F42+SUM(E$17:E42)=D$10,F42,D$10-SUM(E$17:E42))</f>
        <v>24260118.556536689</v>
      </c>
      <c r="E43" s="510">
        <f t="shared" si="9"/>
        <v>2575570.4411764704</v>
      </c>
      <c r="F43" s="511">
        <f t="shared" si="10"/>
        <v>21684548.115360219</v>
      </c>
      <c r="G43" s="512">
        <f t="shared" si="11"/>
        <v>5020220.6551333554</v>
      </c>
      <c r="H43" s="478">
        <f t="shared" si="12"/>
        <v>5020220.6551333554</v>
      </c>
      <c r="I43" s="501">
        <f t="shared" si="1"/>
        <v>0</v>
      </c>
      <c r="J43" s="501"/>
      <c r="K43" s="513"/>
      <c r="L43" s="505">
        <f t="shared" si="2"/>
        <v>0</v>
      </c>
      <c r="M43" s="513"/>
      <c r="N43" s="505">
        <f t="shared" si="3"/>
        <v>0</v>
      </c>
      <c r="O43" s="505">
        <f t="shared" si="4"/>
        <v>0</v>
      </c>
      <c r="P43" s="279"/>
    </row>
    <row r="44" spans="2:16" ht="12.5">
      <c r="B44" s="145" t="str">
        <f t="shared" si="0"/>
        <v/>
      </c>
      <c r="C44" s="496">
        <f>IF(D11="","-",+C43+1)</f>
        <v>2044</v>
      </c>
      <c r="D44" s="509">
        <f>IF(F43+SUM(E$17:E43)=D$10,F43,D$10-SUM(E$17:E43))</f>
        <v>21684548.115360219</v>
      </c>
      <c r="E44" s="510">
        <f t="shared" si="9"/>
        <v>2575570.4411764704</v>
      </c>
      <c r="F44" s="511">
        <f t="shared" si="10"/>
        <v>19108977.674183749</v>
      </c>
      <c r="G44" s="512">
        <f t="shared" si="11"/>
        <v>4746135.7923549563</v>
      </c>
      <c r="H44" s="478">
        <f t="shared" si="12"/>
        <v>4746135.7923549563</v>
      </c>
      <c r="I44" s="501">
        <f t="shared" si="1"/>
        <v>0</v>
      </c>
      <c r="J44" s="501"/>
      <c r="K44" s="513"/>
      <c r="L44" s="505">
        <f t="shared" si="2"/>
        <v>0</v>
      </c>
      <c r="M44" s="513"/>
      <c r="N44" s="505">
        <f t="shared" si="3"/>
        <v>0</v>
      </c>
      <c r="O44" s="505">
        <f t="shared" si="4"/>
        <v>0</v>
      </c>
      <c r="P44" s="279"/>
    </row>
    <row r="45" spans="2:16" ht="12.5">
      <c r="B45" s="145" t="str">
        <f t="shared" si="0"/>
        <v/>
      </c>
      <c r="C45" s="496">
        <f>IF(D11="","-",+C44+1)</f>
        <v>2045</v>
      </c>
      <c r="D45" s="509">
        <f>IF(F44+SUM(E$17:E44)=D$10,F44,D$10-SUM(E$17:E44))</f>
        <v>19108977.674183749</v>
      </c>
      <c r="E45" s="510">
        <f t="shared" si="9"/>
        <v>2575570.4411764704</v>
      </c>
      <c r="F45" s="511">
        <f t="shared" si="10"/>
        <v>16533407.233007278</v>
      </c>
      <c r="G45" s="512">
        <f t="shared" si="11"/>
        <v>4472050.9295765562</v>
      </c>
      <c r="H45" s="478">
        <f t="shared" si="12"/>
        <v>4472050.9295765562</v>
      </c>
      <c r="I45" s="501">
        <f t="shared" si="1"/>
        <v>0</v>
      </c>
      <c r="J45" s="501"/>
      <c r="K45" s="513"/>
      <c r="L45" s="505">
        <f t="shared" si="2"/>
        <v>0</v>
      </c>
      <c r="M45" s="513"/>
      <c r="N45" s="505">
        <f t="shared" si="3"/>
        <v>0</v>
      </c>
      <c r="O45" s="505">
        <f t="shared" si="4"/>
        <v>0</v>
      </c>
      <c r="P45" s="279"/>
    </row>
    <row r="46" spans="2:16" ht="12.5">
      <c r="B46" s="145" t="str">
        <f t="shared" si="0"/>
        <v/>
      </c>
      <c r="C46" s="496">
        <f>IF(D11="","-",+C45+1)</f>
        <v>2046</v>
      </c>
      <c r="D46" s="509">
        <f>IF(F45+SUM(E$17:E45)=D$10,F45,D$10-SUM(E$17:E45))</f>
        <v>16533407.233007278</v>
      </c>
      <c r="E46" s="510">
        <f t="shared" si="9"/>
        <v>2575570.4411764704</v>
      </c>
      <c r="F46" s="511">
        <f t="shared" si="10"/>
        <v>13957836.791830808</v>
      </c>
      <c r="G46" s="512">
        <f t="shared" si="11"/>
        <v>4197966.0667981561</v>
      </c>
      <c r="H46" s="478">
        <f t="shared" si="12"/>
        <v>4197966.0667981561</v>
      </c>
      <c r="I46" s="501">
        <f t="shared" si="1"/>
        <v>0</v>
      </c>
      <c r="J46" s="501"/>
      <c r="K46" s="513"/>
      <c r="L46" s="505">
        <f t="shared" si="2"/>
        <v>0</v>
      </c>
      <c r="M46" s="513"/>
      <c r="N46" s="505">
        <f t="shared" si="3"/>
        <v>0</v>
      </c>
      <c r="O46" s="505">
        <f t="shared" si="4"/>
        <v>0</v>
      </c>
      <c r="P46" s="279"/>
    </row>
    <row r="47" spans="2:16" ht="12.5">
      <c r="B47" s="145" t="str">
        <f t="shared" si="0"/>
        <v/>
      </c>
      <c r="C47" s="496">
        <f>IF(D11="","-",+C46+1)</f>
        <v>2047</v>
      </c>
      <c r="D47" s="509">
        <f>IF(F46+SUM(E$17:E46)=D$10,F46,D$10-SUM(E$17:E46))</f>
        <v>13957836.791830808</v>
      </c>
      <c r="E47" s="510">
        <f t="shared" si="9"/>
        <v>2575570.4411764704</v>
      </c>
      <c r="F47" s="511">
        <f t="shared" si="10"/>
        <v>11382266.350654338</v>
      </c>
      <c r="G47" s="512">
        <f t="shared" si="11"/>
        <v>3923881.204019757</v>
      </c>
      <c r="H47" s="478">
        <f t="shared" si="12"/>
        <v>3923881.204019757</v>
      </c>
      <c r="I47" s="501">
        <f t="shared" si="1"/>
        <v>0</v>
      </c>
      <c r="J47" s="501"/>
      <c r="K47" s="513"/>
      <c r="L47" s="505">
        <f t="shared" si="2"/>
        <v>0</v>
      </c>
      <c r="M47" s="513"/>
      <c r="N47" s="505">
        <f t="shared" si="3"/>
        <v>0</v>
      </c>
      <c r="O47" s="505">
        <f t="shared" si="4"/>
        <v>0</v>
      </c>
      <c r="P47" s="279"/>
    </row>
    <row r="48" spans="2:16" ht="12.5">
      <c r="B48" s="145" t="str">
        <f t="shared" si="0"/>
        <v/>
      </c>
      <c r="C48" s="496">
        <f>IF(D11="","-",+C47+1)</f>
        <v>2048</v>
      </c>
      <c r="D48" s="509">
        <f>IF(F47+SUM(E$17:E47)=D$10,F47,D$10-SUM(E$17:E47))</f>
        <v>11382266.350654338</v>
      </c>
      <c r="E48" s="510">
        <f t="shared" si="9"/>
        <v>2575570.4411764704</v>
      </c>
      <c r="F48" s="511">
        <f t="shared" si="10"/>
        <v>8806695.9094778672</v>
      </c>
      <c r="G48" s="512">
        <f t="shared" si="11"/>
        <v>3649796.3412413574</v>
      </c>
      <c r="H48" s="478">
        <f t="shared" si="12"/>
        <v>3649796.3412413574</v>
      </c>
      <c r="I48" s="501">
        <f t="shared" si="1"/>
        <v>0</v>
      </c>
      <c r="J48" s="501"/>
      <c r="K48" s="513"/>
      <c r="L48" s="505">
        <f t="shared" si="2"/>
        <v>0</v>
      </c>
      <c r="M48" s="513"/>
      <c r="N48" s="505">
        <f t="shared" si="3"/>
        <v>0</v>
      </c>
      <c r="O48" s="505">
        <f t="shared" si="4"/>
        <v>0</v>
      </c>
      <c r="P48" s="279"/>
    </row>
    <row r="49" spans="2:16" ht="12.5">
      <c r="B49" s="145" t="str">
        <f t="shared" si="0"/>
        <v/>
      </c>
      <c r="C49" s="496">
        <f>IF(D11="","-",+C48+1)</f>
        <v>2049</v>
      </c>
      <c r="D49" s="509">
        <f>IF(F48+SUM(E$17:E48)=D$10,F48,D$10-SUM(E$17:E48))</f>
        <v>8806695.9094778672</v>
      </c>
      <c r="E49" s="510">
        <f t="shared" si="9"/>
        <v>2575570.4411764704</v>
      </c>
      <c r="F49" s="511">
        <f t="shared" si="10"/>
        <v>6231125.4683013968</v>
      </c>
      <c r="G49" s="512">
        <f t="shared" si="11"/>
        <v>3375711.4784629578</v>
      </c>
      <c r="H49" s="478">
        <f t="shared" si="12"/>
        <v>3375711.4784629578</v>
      </c>
      <c r="I49" s="501">
        <f t="shared" si="1"/>
        <v>0</v>
      </c>
      <c r="J49" s="501"/>
      <c r="K49" s="513"/>
      <c r="L49" s="505">
        <f t="shared" si="2"/>
        <v>0</v>
      </c>
      <c r="M49" s="513"/>
      <c r="N49" s="505">
        <f t="shared" si="3"/>
        <v>0</v>
      </c>
      <c r="O49" s="505">
        <f t="shared" si="4"/>
        <v>0</v>
      </c>
      <c r="P49" s="279"/>
    </row>
    <row r="50" spans="2:16" ht="12.5">
      <c r="B50" s="145" t="str">
        <f t="shared" si="0"/>
        <v/>
      </c>
      <c r="C50" s="496">
        <f>IF(D11="","-",+C49+1)</f>
        <v>2050</v>
      </c>
      <c r="D50" s="509">
        <f>IF(F49+SUM(E$17:E49)=D$10,F49,D$10-SUM(E$17:E49))</f>
        <v>6231125.4683013968</v>
      </c>
      <c r="E50" s="510">
        <f t="shared" ref="E50:E71" si="13">IF(+I$14&lt;F49,I$14,D50)</f>
        <v>2575570.4411764704</v>
      </c>
      <c r="F50" s="511">
        <f t="shared" si="10"/>
        <v>3655555.0271249264</v>
      </c>
      <c r="G50" s="512">
        <f t="shared" si="11"/>
        <v>3101626.6156845582</v>
      </c>
      <c r="H50" s="478">
        <f t="shared" si="12"/>
        <v>3101626.6156845582</v>
      </c>
      <c r="I50" s="501">
        <f t="shared" si="1"/>
        <v>0</v>
      </c>
      <c r="J50" s="501"/>
      <c r="K50" s="513"/>
      <c r="L50" s="505">
        <f t="shared" si="2"/>
        <v>0</v>
      </c>
      <c r="M50" s="513"/>
      <c r="N50" s="505">
        <f t="shared" si="3"/>
        <v>0</v>
      </c>
      <c r="O50" s="505">
        <f t="shared" si="4"/>
        <v>0</v>
      </c>
      <c r="P50" s="279"/>
    </row>
    <row r="51" spans="2:16" ht="12.5">
      <c r="B51" s="145" t="str">
        <f t="shared" si="0"/>
        <v/>
      </c>
      <c r="C51" s="496">
        <f>IF(D11="","-",+C50+1)</f>
        <v>2051</v>
      </c>
      <c r="D51" s="509">
        <f>IF(F50+SUM(E$17:E50)=D$10,F50,D$10-SUM(E$17:E50))</f>
        <v>3655555.0271249264</v>
      </c>
      <c r="E51" s="510">
        <f t="shared" si="13"/>
        <v>2575570.4411764704</v>
      </c>
      <c r="F51" s="511">
        <f t="shared" si="10"/>
        <v>1079984.5859484561</v>
      </c>
      <c r="G51" s="512">
        <f t="shared" si="11"/>
        <v>2827541.7529061586</v>
      </c>
      <c r="H51" s="478">
        <f t="shared" si="12"/>
        <v>2827541.7529061586</v>
      </c>
      <c r="I51" s="501">
        <f t="shared" si="1"/>
        <v>0</v>
      </c>
      <c r="J51" s="501"/>
      <c r="K51" s="513"/>
      <c r="L51" s="505">
        <f t="shared" si="2"/>
        <v>0</v>
      </c>
      <c r="M51" s="513"/>
      <c r="N51" s="505">
        <f t="shared" si="3"/>
        <v>0</v>
      </c>
      <c r="O51" s="505">
        <f t="shared" si="4"/>
        <v>0</v>
      </c>
      <c r="P51" s="279"/>
    </row>
    <row r="52" spans="2:16" ht="12.5">
      <c r="B52" s="145" t="str">
        <f t="shared" si="0"/>
        <v/>
      </c>
      <c r="C52" s="496">
        <f>IF(D11="","-",+C51+1)</f>
        <v>2052</v>
      </c>
      <c r="D52" s="509">
        <f>IF(F51+SUM(E$17:E51)=D$10,F51,D$10-SUM(E$17:E51))</f>
        <v>1079984.5859484561</v>
      </c>
      <c r="E52" s="510">
        <f t="shared" si="13"/>
        <v>1079984.5859484561</v>
      </c>
      <c r="F52" s="511">
        <f t="shared" si="10"/>
        <v>0</v>
      </c>
      <c r="G52" s="512">
        <f t="shared" si="11"/>
        <v>1137449.0261187002</v>
      </c>
      <c r="H52" s="478">
        <f t="shared" si="12"/>
        <v>1137449.0261187002</v>
      </c>
      <c r="I52" s="501">
        <f t="shared" si="1"/>
        <v>0</v>
      </c>
      <c r="J52" s="501"/>
      <c r="K52" s="513"/>
      <c r="L52" s="505">
        <f t="shared" si="2"/>
        <v>0</v>
      </c>
      <c r="M52" s="513"/>
      <c r="N52" s="505">
        <f t="shared" si="3"/>
        <v>0</v>
      </c>
      <c r="O52" s="505">
        <f t="shared" si="4"/>
        <v>0</v>
      </c>
      <c r="P52" s="279"/>
    </row>
    <row r="53" spans="2:16" ht="12.5">
      <c r="B53" s="145" t="str">
        <f t="shared" si="0"/>
        <v/>
      </c>
      <c r="C53" s="496">
        <f>IF(D11="","-",+C52+1)</f>
        <v>2053</v>
      </c>
      <c r="D53" s="509">
        <f>IF(F52+SUM(E$17:E52)=D$10,F52,D$10-SUM(E$17:E52))</f>
        <v>0</v>
      </c>
      <c r="E53" s="510">
        <f t="shared" si="13"/>
        <v>0</v>
      </c>
      <c r="F53" s="511">
        <f t="shared" si="10"/>
        <v>0</v>
      </c>
      <c r="G53" s="512">
        <f t="shared" si="11"/>
        <v>0</v>
      </c>
      <c r="H53" s="478">
        <f t="shared" si="12"/>
        <v>0</v>
      </c>
      <c r="I53" s="501">
        <f t="shared" si="1"/>
        <v>0</v>
      </c>
      <c r="J53" s="501"/>
      <c r="K53" s="513"/>
      <c r="L53" s="505">
        <f t="shared" si="2"/>
        <v>0</v>
      </c>
      <c r="M53" s="513"/>
      <c r="N53" s="505">
        <f t="shared" si="3"/>
        <v>0</v>
      </c>
      <c r="O53" s="505">
        <f t="shared" si="4"/>
        <v>0</v>
      </c>
      <c r="P53" s="279"/>
    </row>
    <row r="54" spans="2:16" ht="12.5">
      <c r="B54" s="145" t="str">
        <f t="shared" si="0"/>
        <v/>
      </c>
      <c r="C54" s="496">
        <f>IF(D11="","-",+C53+1)</f>
        <v>2054</v>
      </c>
      <c r="D54" s="509">
        <f>IF(F53+SUM(E$17:E53)=D$10,F53,D$10-SUM(E$17:E53))</f>
        <v>0</v>
      </c>
      <c r="E54" s="510">
        <f t="shared" si="13"/>
        <v>0</v>
      </c>
      <c r="F54" s="511">
        <f t="shared" si="10"/>
        <v>0</v>
      </c>
      <c r="G54" s="512">
        <f t="shared" si="11"/>
        <v>0</v>
      </c>
      <c r="H54" s="478">
        <f t="shared" si="12"/>
        <v>0</v>
      </c>
      <c r="I54" s="501">
        <f t="shared" si="1"/>
        <v>0</v>
      </c>
      <c r="J54" s="501"/>
      <c r="K54" s="513"/>
      <c r="L54" s="505">
        <f t="shared" si="2"/>
        <v>0</v>
      </c>
      <c r="M54" s="513"/>
      <c r="N54" s="505">
        <f t="shared" si="3"/>
        <v>0</v>
      </c>
      <c r="O54" s="505">
        <f t="shared" si="4"/>
        <v>0</v>
      </c>
      <c r="P54" s="279"/>
    </row>
    <row r="55" spans="2:16" ht="12.5">
      <c r="B55" s="145" t="str">
        <f t="shared" si="0"/>
        <v/>
      </c>
      <c r="C55" s="496">
        <f>IF(D11="","-",+C54+1)</f>
        <v>2055</v>
      </c>
      <c r="D55" s="509">
        <f>IF(F54+SUM(E$17:E54)=D$10,F54,D$10-SUM(E$17:E54))</f>
        <v>0</v>
      </c>
      <c r="E55" s="510">
        <f t="shared" si="13"/>
        <v>0</v>
      </c>
      <c r="F55" s="511">
        <f t="shared" si="10"/>
        <v>0</v>
      </c>
      <c r="G55" s="512">
        <f t="shared" si="11"/>
        <v>0</v>
      </c>
      <c r="H55" s="478">
        <f t="shared" si="12"/>
        <v>0</v>
      </c>
      <c r="I55" s="501">
        <f t="shared" si="1"/>
        <v>0</v>
      </c>
      <c r="J55" s="501"/>
      <c r="K55" s="513"/>
      <c r="L55" s="505">
        <f t="shared" si="2"/>
        <v>0</v>
      </c>
      <c r="M55" s="513"/>
      <c r="N55" s="505">
        <f t="shared" si="3"/>
        <v>0</v>
      </c>
      <c r="O55" s="505">
        <f t="shared" si="4"/>
        <v>0</v>
      </c>
      <c r="P55" s="279"/>
    </row>
    <row r="56" spans="2:16" ht="12.5">
      <c r="B56" s="145" t="str">
        <f t="shared" si="0"/>
        <v/>
      </c>
      <c r="C56" s="496">
        <f>IF(D11="","-",+C55+1)</f>
        <v>2056</v>
      </c>
      <c r="D56" s="509">
        <f>IF(F55+SUM(E$17:E55)=D$10,F55,D$10-SUM(E$17:E55))</f>
        <v>0</v>
      </c>
      <c r="E56" s="510">
        <f t="shared" si="13"/>
        <v>0</v>
      </c>
      <c r="F56" s="511">
        <f t="shared" si="10"/>
        <v>0</v>
      </c>
      <c r="G56" s="512">
        <f t="shared" si="11"/>
        <v>0</v>
      </c>
      <c r="H56" s="478">
        <f t="shared" si="12"/>
        <v>0</v>
      </c>
      <c r="I56" s="501">
        <f t="shared" si="1"/>
        <v>0</v>
      </c>
      <c r="J56" s="501"/>
      <c r="K56" s="513"/>
      <c r="L56" s="505">
        <f t="shared" si="2"/>
        <v>0</v>
      </c>
      <c r="M56" s="513"/>
      <c r="N56" s="505">
        <f t="shared" si="3"/>
        <v>0</v>
      </c>
      <c r="O56" s="505">
        <f t="shared" si="4"/>
        <v>0</v>
      </c>
      <c r="P56" s="279"/>
    </row>
    <row r="57" spans="2:16" ht="12.5">
      <c r="B57" s="145" t="str">
        <f t="shared" si="0"/>
        <v/>
      </c>
      <c r="C57" s="496">
        <f>IF(D11="","-",+C56+1)</f>
        <v>2057</v>
      </c>
      <c r="D57" s="509">
        <f>IF(F56+SUM(E$17:E56)=D$10,F56,D$10-SUM(E$17:E56))</f>
        <v>0</v>
      </c>
      <c r="E57" s="510">
        <f t="shared" si="13"/>
        <v>0</v>
      </c>
      <c r="F57" s="511">
        <f t="shared" si="10"/>
        <v>0</v>
      </c>
      <c r="G57" s="512">
        <f t="shared" si="11"/>
        <v>0</v>
      </c>
      <c r="H57" s="478">
        <f t="shared" si="12"/>
        <v>0</v>
      </c>
      <c r="I57" s="501">
        <f t="shared" si="1"/>
        <v>0</v>
      </c>
      <c r="J57" s="501"/>
      <c r="K57" s="513"/>
      <c r="L57" s="505">
        <f t="shared" si="2"/>
        <v>0</v>
      </c>
      <c r="M57" s="513"/>
      <c r="N57" s="505">
        <f t="shared" si="3"/>
        <v>0</v>
      </c>
      <c r="O57" s="505">
        <f t="shared" si="4"/>
        <v>0</v>
      </c>
      <c r="P57" s="279"/>
    </row>
    <row r="58" spans="2:16" ht="12.5">
      <c r="B58" s="145" t="str">
        <f t="shared" si="0"/>
        <v/>
      </c>
      <c r="C58" s="496">
        <f>IF(D11="","-",+C57+1)</f>
        <v>2058</v>
      </c>
      <c r="D58" s="509">
        <f>IF(F57+SUM(E$17:E57)=D$10,F57,D$10-SUM(E$17:E57))</f>
        <v>0</v>
      </c>
      <c r="E58" s="510">
        <f t="shared" si="13"/>
        <v>0</v>
      </c>
      <c r="F58" s="511">
        <f t="shared" si="10"/>
        <v>0</v>
      </c>
      <c r="G58" s="512">
        <f t="shared" si="11"/>
        <v>0</v>
      </c>
      <c r="H58" s="478">
        <f t="shared" si="12"/>
        <v>0</v>
      </c>
      <c r="I58" s="501">
        <f t="shared" si="1"/>
        <v>0</v>
      </c>
      <c r="J58" s="501"/>
      <c r="K58" s="513"/>
      <c r="L58" s="505">
        <f t="shared" si="2"/>
        <v>0</v>
      </c>
      <c r="M58" s="513"/>
      <c r="N58" s="505">
        <f t="shared" si="3"/>
        <v>0</v>
      </c>
      <c r="O58" s="505">
        <f t="shared" si="4"/>
        <v>0</v>
      </c>
      <c r="P58" s="279"/>
    </row>
    <row r="59" spans="2:16" ht="12.5">
      <c r="B59" s="145" t="str">
        <f t="shared" si="0"/>
        <v/>
      </c>
      <c r="C59" s="496">
        <f>IF(D11="","-",+C58+1)</f>
        <v>2059</v>
      </c>
      <c r="D59" s="509">
        <f>IF(F58+SUM(E$17:E58)=D$10,F58,D$10-SUM(E$17:E58))</f>
        <v>0</v>
      </c>
      <c r="E59" s="510">
        <f t="shared" si="13"/>
        <v>0</v>
      </c>
      <c r="F59" s="511">
        <f t="shared" si="10"/>
        <v>0</v>
      </c>
      <c r="G59" s="512">
        <f t="shared" si="11"/>
        <v>0</v>
      </c>
      <c r="H59" s="478">
        <f t="shared" si="12"/>
        <v>0</v>
      </c>
      <c r="I59" s="501">
        <f t="shared" si="1"/>
        <v>0</v>
      </c>
      <c r="J59" s="501"/>
      <c r="K59" s="513"/>
      <c r="L59" s="505">
        <f t="shared" si="2"/>
        <v>0</v>
      </c>
      <c r="M59" s="513"/>
      <c r="N59" s="505">
        <f t="shared" si="3"/>
        <v>0</v>
      </c>
      <c r="O59" s="505">
        <f t="shared" si="4"/>
        <v>0</v>
      </c>
      <c r="P59" s="279"/>
    </row>
    <row r="60" spans="2:16" ht="12.5">
      <c r="B60" s="145" t="str">
        <f t="shared" si="0"/>
        <v/>
      </c>
      <c r="C60" s="496">
        <f>IF(D11="","-",+C59+1)</f>
        <v>2060</v>
      </c>
      <c r="D60" s="509">
        <f>IF(F59+SUM(E$17:E59)=D$10,F59,D$10-SUM(E$17:E59))</f>
        <v>0</v>
      </c>
      <c r="E60" s="510">
        <f t="shared" si="13"/>
        <v>0</v>
      </c>
      <c r="F60" s="511">
        <f t="shared" si="10"/>
        <v>0</v>
      </c>
      <c r="G60" s="512">
        <f t="shared" si="11"/>
        <v>0</v>
      </c>
      <c r="H60" s="478">
        <f t="shared" si="12"/>
        <v>0</v>
      </c>
      <c r="I60" s="501">
        <f t="shared" si="1"/>
        <v>0</v>
      </c>
      <c r="J60" s="501"/>
      <c r="K60" s="513"/>
      <c r="L60" s="505">
        <f t="shared" si="2"/>
        <v>0</v>
      </c>
      <c r="M60" s="513"/>
      <c r="N60" s="505">
        <f t="shared" si="3"/>
        <v>0</v>
      </c>
      <c r="O60" s="505">
        <f t="shared" si="4"/>
        <v>0</v>
      </c>
      <c r="P60" s="279"/>
    </row>
    <row r="61" spans="2:16" ht="12.5">
      <c r="B61" s="145" t="str">
        <f t="shared" si="0"/>
        <v/>
      </c>
      <c r="C61" s="496">
        <f>IF(D11="","-",+C60+1)</f>
        <v>2061</v>
      </c>
      <c r="D61" s="509">
        <f>IF(F60+SUM(E$17:E60)=D$10,F60,D$10-SUM(E$17:E60))</f>
        <v>0</v>
      </c>
      <c r="E61" s="510">
        <f t="shared" si="13"/>
        <v>0</v>
      </c>
      <c r="F61" s="511">
        <f t="shared" si="10"/>
        <v>0</v>
      </c>
      <c r="G61" s="524">
        <f t="shared" si="11"/>
        <v>0</v>
      </c>
      <c r="H61" s="478">
        <f t="shared" si="12"/>
        <v>0</v>
      </c>
      <c r="I61" s="501">
        <f t="shared" si="1"/>
        <v>0</v>
      </c>
      <c r="J61" s="501"/>
      <c r="K61" s="513"/>
      <c r="L61" s="505">
        <f t="shared" si="2"/>
        <v>0</v>
      </c>
      <c r="M61" s="513"/>
      <c r="N61" s="505">
        <f t="shared" si="3"/>
        <v>0</v>
      </c>
      <c r="O61" s="505">
        <f t="shared" si="4"/>
        <v>0</v>
      </c>
      <c r="P61" s="279"/>
    </row>
    <row r="62" spans="2:16" ht="12.5">
      <c r="B62" s="145" t="str">
        <f t="shared" si="0"/>
        <v/>
      </c>
      <c r="C62" s="496">
        <f>IF(D11="","-",+C61+1)</f>
        <v>2062</v>
      </c>
      <c r="D62" s="509">
        <f>IF(F61+SUM(E$17:E61)=D$10,F61,D$10-SUM(E$17:E61))</f>
        <v>0</v>
      </c>
      <c r="E62" s="510">
        <f t="shared" si="13"/>
        <v>0</v>
      </c>
      <c r="F62" s="511">
        <f t="shared" si="10"/>
        <v>0</v>
      </c>
      <c r="G62" s="524">
        <f t="shared" si="11"/>
        <v>0</v>
      </c>
      <c r="H62" s="478">
        <f t="shared" si="12"/>
        <v>0</v>
      </c>
      <c r="I62" s="501">
        <f t="shared" si="1"/>
        <v>0</v>
      </c>
      <c r="J62" s="501"/>
      <c r="K62" s="513"/>
      <c r="L62" s="505">
        <f t="shared" si="2"/>
        <v>0</v>
      </c>
      <c r="M62" s="513"/>
      <c r="N62" s="505">
        <f t="shared" si="3"/>
        <v>0</v>
      </c>
      <c r="O62" s="505">
        <f t="shared" si="4"/>
        <v>0</v>
      </c>
      <c r="P62" s="279"/>
    </row>
    <row r="63" spans="2:16" ht="12.5">
      <c r="B63" s="145" t="str">
        <f t="shared" si="0"/>
        <v/>
      </c>
      <c r="C63" s="496">
        <f>IF(D11="","-",+C62+1)</f>
        <v>2063</v>
      </c>
      <c r="D63" s="509">
        <f>IF(F62+SUM(E$17:E62)=D$10,F62,D$10-SUM(E$17:E62))</f>
        <v>0</v>
      </c>
      <c r="E63" s="510">
        <f t="shared" si="13"/>
        <v>0</v>
      </c>
      <c r="F63" s="511">
        <f t="shared" si="10"/>
        <v>0</v>
      </c>
      <c r="G63" s="524">
        <f t="shared" si="11"/>
        <v>0</v>
      </c>
      <c r="H63" s="478">
        <f t="shared" si="12"/>
        <v>0</v>
      </c>
      <c r="I63" s="501">
        <f t="shared" si="1"/>
        <v>0</v>
      </c>
      <c r="J63" s="501"/>
      <c r="K63" s="513"/>
      <c r="L63" s="505">
        <f t="shared" si="2"/>
        <v>0</v>
      </c>
      <c r="M63" s="513"/>
      <c r="N63" s="505">
        <f t="shared" si="3"/>
        <v>0</v>
      </c>
      <c r="O63" s="505">
        <f t="shared" si="4"/>
        <v>0</v>
      </c>
      <c r="P63" s="279"/>
    </row>
    <row r="64" spans="2:16" ht="12.5">
      <c r="B64" s="145" t="str">
        <f t="shared" si="0"/>
        <v/>
      </c>
      <c r="C64" s="496">
        <f>IF(D11="","-",+C63+1)</f>
        <v>2064</v>
      </c>
      <c r="D64" s="509">
        <f>IF(F63+SUM(E$17:E63)=D$10,F63,D$10-SUM(E$17:E63))</f>
        <v>0</v>
      </c>
      <c r="E64" s="510">
        <f t="shared" si="13"/>
        <v>0</v>
      </c>
      <c r="F64" s="511">
        <f t="shared" si="10"/>
        <v>0</v>
      </c>
      <c r="G64" s="524">
        <f t="shared" si="11"/>
        <v>0</v>
      </c>
      <c r="H64" s="478">
        <f t="shared" si="12"/>
        <v>0</v>
      </c>
      <c r="I64" s="501">
        <f t="shared" si="1"/>
        <v>0</v>
      </c>
      <c r="J64" s="501"/>
      <c r="K64" s="513"/>
      <c r="L64" s="505">
        <f t="shared" si="2"/>
        <v>0</v>
      </c>
      <c r="M64" s="513"/>
      <c r="N64" s="505">
        <f t="shared" si="3"/>
        <v>0</v>
      </c>
      <c r="O64" s="505">
        <f t="shared" si="4"/>
        <v>0</v>
      </c>
      <c r="P64" s="279"/>
    </row>
    <row r="65" spans="2:16" ht="12.5">
      <c r="B65" s="145" t="str">
        <f t="shared" si="0"/>
        <v/>
      </c>
      <c r="C65" s="496">
        <f>IF(D11="","-",+C64+1)</f>
        <v>2065</v>
      </c>
      <c r="D65" s="509">
        <f>IF(F64+SUM(E$17:E64)=D$10,F64,D$10-SUM(E$17:E64))</f>
        <v>0</v>
      </c>
      <c r="E65" s="510">
        <f t="shared" si="13"/>
        <v>0</v>
      </c>
      <c r="F65" s="511">
        <f t="shared" si="10"/>
        <v>0</v>
      </c>
      <c r="G65" s="524">
        <f t="shared" si="11"/>
        <v>0</v>
      </c>
      <c r="H65" s="478">
        <f t="shared" si="12"/>
        <v>0</v>
      </c>
      <c r="I65" s="501">
        <f t="shared" si="1"/>
        <v>0</v>
      </c>
      <c r="J65" s="501"/>
      <c r="K65" s="513"/>
      <c r="L65" s="505">
        <f t="shared" si="2"/>
        <v>0</v>
      </c>
      <c r="M65" s="513"/>
      <c r="N65" s="505">
        <f t="shared" si="3"/>
        <v>0</v>
      </c>
      <c r="O65" s="505">
        <f t="shared" si="4"/>
        <v>0</v>
      </c>
      <c r="P65" s="279"/>
    </row>
    <row r="66" spans="2:16" ht="12.5">
      <c r="B66" s="145" t="str">
        <f t="shared" si="0"/>
        <v/>
      </c>
      <c r="C66" s="496">
        <f>IF(D11="","-",+C65+1)</f>
        <v>2066</v>
      </c>
      <c r="D66" s="509">
        <f>IF(F65+SUM(E$17:E65)=D$10,F65,D$10-SUM(E$17:E65))</f>
        <v>0</v>
      </c>
      <c r="E66" s="510">
        <f t="shared" si="13"/>
        <v>0</v>
      </c>
      <c r="F66" s="511">
        <f t="shared" si="10"/>
        <v>0</v>
      </c>
      <c r="G66" s="524">
        <f t="shared" si="11"/>
        <v>0</v>
      </c>
      <c r="H66" s="478">
        <f t="shared" si="12"/>
        <v>0</v>
      </c>
      <c r="I66" s="501">
        <f t="shared" si="1"/>
        <v>0</v>
      </c>
      <c r="J66" s="501"/>
      <c r="K66" s="513"/>
      <c r="L66" s="505">
        <f t="shared" si="2"/>
        <v>0</v>
      </c>
      <c r="M66" s="513"/>
      <c r="N66" s="505">
        <f t="shared" si="3"/>
        <v>0</v>
      </c>
      <c r="O66" s="505">
        <f t="shared" si="4"/>
        <v>0</v>
      </c>
      <c r="P66" s="279"/>
    </row>
    <row r="67" spans="2:16" ht="12.5">
      <c r="B67" s="145" t="str">
        <f t="shared" si="0"/>
        <v/>
      </c>
      <c r="C67" s="496">
        <f>IF(D11="","-",+C66+1)</f>
        <v>2067</v>
      </c>
      <c r="D67" s="509">
        <f>IF(F66+SUM(E$17:E66)=D$10,F66,D$10-SUM(E$17:E66))</f>
        <v>0</v>
      </c>
      <c r="E67" s="510">
        <f t="shared" si="13"/>
        <v>0</v>
      </c>
      <c r="F67" s="511">
        <f t="shared" si="10"/>
        <v>0</v>
      </c>
      <c r="G67" s="524">
        <f t="shared" si="11"/>
        <v>0</v>
      </c>
      <c r="H67" s="478">
        <f t="shared" si="12"/>
        <v>0</v>
      </c>
      <c r="I67" s="501">
        <f t="shared" si="1"/>
        <v>0</v>
      </c>
      <c r="J67" s="501"/>
      <c r="K67" s="513"/>
      <c r="L67" s="505">
        <f t="shared" si="2"/>
        <v>0</v>
      </c>
      <c r="M67" s="513"/>
      <c r="N67" s="505">
        <f t="shared" si="3"/>
        <v>0</v>
      </c>
      <c r="O67" s="505">
        <f t="shared" si="4"/>
        <v>0</v>
      </c>
      <c r="P67" s="279"/>
    </row>
    <row r="68" spans="2:16" ht="12.5">
      <c r="B68" s="145" t="str">
        <f t="shared" si="0"/>
        <v/>
      </c>
      <c r="C68" s="496">
        <f>IF(D11="","-",+C67+1)</f>
        <v>2068</v>
      </c>
      <c r="D68" s="509">
        <f>IF(F67+SUM(E$17:E67)=D$10,F67,D$10-SUM(E$17:E67))</f>
        <v>0</v>
      </c>
      <c r="E68" s="510">
        <f t="shared" si="13"/>
        <v>0</v>
      </c>
      <c r="F68" s="511">
        <f t="shared" si="10"/>
        <v>0</v>
      </c>
      <c r="G68" s="524">
        <f t="shared" si="11"/>
        <v>0</v>
      </c>
      <c r="H68" s="478">
        <f t="shared" si="12"/>
        <v>0</v>
      </c>
      <c r="I68" s="501">
        <f t="shared" si="1"/>
        <v>0</v>
      </c>
      <c r="J68" s="501"/>
      <c r="K68" s="513"/>
      <c r="L68" s="505">
        <f t="shared" si="2"/>
        <v>0</v>
      </c>
      <c r="M68" s="513"/>
      <c r="N68" s="505">
        <f t="shared" si="3"/>
        <v>0</v>
      </c>
      <c r="O68" s="505">
        <f t="shared" si="4"/>
        <v>0</v>
      </c>
      <c r="P68" s="279"/>
    </row>
    <row r="69" spans="2:16" ht="12.5">
      <c r="B69" s="145" t="str">
        <f t="shared" si="0"/>
        <v/>
      </c>
      <c r="C69" s="496">
        <f>IF(D11="","-",+C68+1)</f>
        <v>2069</v>
      </c>
      <c r="D69" s="509">
        <f>IF(F68+SUM(E$17:E68)=D$10,F68,D$10-SUM(E$17:E68))</f>
        <v>0</v>
      </c>
      <c r="E69" s="510">
        <f t="shared" si="13"/>
        <v>0</v>
      </c>
      <c r="F69" s="511">
        <f t="shared" si="10"/>
        <v>0</v>
      </c>
      <c r="G69" s="524">
        <f t="shared" si="11"/>
        <v>0</v>
      </c>
      <c r="H69" s="478">
        <f t="shared" si="12"/>
        <v>0</v>
      </c>
      <c r="I69" s="501">
        <f t="shared" si="1"/>
        <v>0</v>
      </c>
      <c r="J69" s="501"/>
      <c r="K69" s="513"/>
      <c r="L69" s="505">
        <f t="shared" si="2"/>
        <v>0</v>
      </c>
      <c r="M69" s="513"/>
      <c r="N69" s="505">
        <f t="shared" si="3"/>
        <v>0</v>
      </c>
      <c r="O69" s="505">
        <f t="shared" si="4"/>
        <v>0</v>
      </c>
      <c r="P69" s="279"/>
    </row>
    <row r="70" spans="2:16" ht="12.5">
      <c r="B70" s="145" t="str">
        <f t="shared" si="0"/>
        <v/>
      </c>
      <c r="C70" s="496">
        <f>IF(D11="","-",+C69+1)</f>
        <v>2070</v>
      </c>
      <c r="D70" s="509">
        <f>IF(F69+SUM(E$17:E69)=D$10,F69,D$10-SUM(E$17:E69))</f>
        <v>0</v>
      </c>
      <c r="E70" s="510">
        <f t="shared" si="13"/>
        <v>0</v>
      </c>
      <c r="F70" s="511">
        <f t="shared" si="10"/>
        <v>0</v>
      </c>
      <c r="G70" s="524">
        <f t="shared" si="11"/>
        <v>0</v>
      </c>
      <c r="H70" s="478">
        <f t="shared" si="12"/>
        <v>0</v>
      </c>
      <c r="I70" s="501">
        <f t="shared" si="1"/>
        <v>0</v>
      </c>
      <c r="J70" s="501"/>
      <c r="K70" s="513"/>
      <c r="L70" s="505">
        <f t="shared" si="2"/>
        <v>0</v>
      </c>
      <c r="M70" s="513"/>
      <c r="N70" s="505">
        <f t="shared" si="3"/>
        <v>0</v>
      </c>
      <c r="O70" s="505">
        <f t="shared" si="4"/>
        <v>0</v>
      </c>
      <c r="P70" s="279"/>
    </row>
    <row r="71" spans="2:16" ht="12.5">
      <c r="B71" s="145" t="str">
        <f t="shared" si="0"/>
        <v/>
      </c>
      <c r="C71" s="496">
        <f>IF(D11="","-",+C70+1)</f>
        <v>2071</v>
      </c>
      <c r="D71" s="509">
        <f>IF(F70+SUM(E$17:E70)=D$10,F70,D$10-SUM(E$17:E70))</f>
        <v>0</v>
      </c>
      <c r="E71" s="510">
        <f t="shared" si="13"/>
        <v>0</v>
      </c>
      <c r="F71" s="511">
        <f t="shared" si="10"/>
        <v>0</v>
      </c>
      <c r="G71" s="524">
        <f t="shared" si="11"/>
        <v>0</v>
      </c>
      <c r="H71" s="478">
        <f t="shared" si="12"/>
        <v>0</v>
      </c>
      <c r="I71" s="501">
        <f t="shared" si="1"/>
        <v>0</v>
      </c>
      <c r="J71" s="501"/>
      <c r="K71" s="513"/>
      <c r="L71" s="505">
        <f t="shared" si="2"/>
        <v>0</v>
      </c>
      <c r="M71" s="513"/>
      <c r="N71" s="505">
        <f t="shared" si="3"/>
        <v>0</v>
      </c>
      <c r="O71" s="505">
        <f t="shared" si="4"/>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87569395</v>
      </c>
      <c r="F74" s="295"/>
      <c r="G74" s="295">
        <f>SUM(G17:G73)</f>
        <v>255124011.4602406</v>
      </c>
      <c r="H74" s="295">
        <f>SUM(H17:H73)</f>
        <v>255124011.4602406</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17 of 20</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2020</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11283505.602105767</v>
      </c>
      <c r="N88" s="545">
        <f>IF(J93&lt;D11,0,VLOOKUP(J93,C17:O73,11))</f>
        <v>11283505.602105767</v>
      </c>
      <c r="O88" s="546">
        <f>+N88-M88</f>
        <v>0</v>
      </c>
      <c r="P88" s="244"/>
    </row>
    <row r="89" spans="1:16" ht="15.5">
      <c r="C89" s="236"/>
      <c r="D89" s="293"/>
      <c r="E89" s="244"/>
      <c r="F89" s="244"/>
      <c r="G89" s="244"/>
      <c r="H89" s="244"/>
      <c r="I89" s="450"/>
      <c r="J89" s="450"/>
      <c r="K89" s="547"/>
      <c r="L89" s="548" t="s">
        <v>254</v>
      </c>
      <c r="M89" s="549">
        <f>IF(J93&lt;D11,0,VLOOKUP(J93,C100:P155,6))</f>
        <v>11774841.711765051</v>
      </c>
      <c r="N89" s="549">
        <f>IF(J93&lt;D11,0,VLOOKUP(J93,C100:P155,7))</f>
        <v>11774841.711765051</v>
      </c>
      <c r="O89" s="550">
        <f>+N89-M89</f>
        <v>0</v>
      </c>
      <c r="P89" s="244"/>
    </row>
    <row r="90" spans="1:16" ht="13.5" thickBot="1">
      <c r="C90" s="455" t="s">
        <v>82</v>
      </c>
      <c r="D90" s="551" t="str">
        <f>+D7</f>
        <v>Chisholm - Gracemont 345 kv line and station</v>
      </c>
      <c r="E90" s="244"/>
      <c r="F90" s="244"/>
      <c r="G90" s="244"/>
      <c r="H90" s="244"/>
      <c r="I90" s="326"/>
      <c r="J90" s="326"/>
      <c r="K90" s="552"/>
      <c r="L90" s="553" t="s">
        <v>135</v>
      </c>
      <c r="M90" s="554">
        <f>+M89-M88</f>
        <v>491336.10965928435</v>
      </c>
      <c r="N90" s="554">
        <f>+N89-N88</f>
        <v>491336.10965928435</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2011150</v>
      </c>
      <c r="E92" s="559"/>
      <c r="F92" s="559"/>
      <c r="G92" s="559"/>
      <c r="H92" s="559"/>
      <c r="I92" s="559"/>
      <c r="J92" s="559"/>
      <c r="K92" s="561"/>
      <c r="P92" s="469"/>
    </row>
    <row r="93" spans="1:16" ht="13">
      <c r="C93" s="473" t="s">
        <v>49</v>
      </c>
      <c r="D93" s="471">
        <v>87672233</v>
      </c>
      <c r="E93" s="249" t="s">
        <v>84</v>
      </c>
      <c r="H93" s="409"/>
      <c r="I93" s="409"/>
      <c r="J93" s="472">
        <f>+'OKT.WS.G.BPU.ATRR.True-up'!M16</f>
        <v>2020</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12</v>
      </c>
      <c r="E95" s="473" t="s">
        <v>55</v>
      </c>
      <c r="F95" s="409"/>
      <c r="G95" s="409"/>
      <c r="J95" s="477">
        <f>'OKT.WS.G.BPU.ATRR.True-up'!$F$81</f>
        <v>0.10641349897030054</v>
      </c>
      <c r="K95" s="414"/>
      <c r="L95" s="145" t="s">
        <v>86</v>
      </c>
      <c r="P95" s="279"/>
    </row>
    <row r="96" spans="1:16" ht="12.5">
      <c r="C96" s="473" t="s">
        <v>57</v>
      </c>
      <c r="D96" s="475">
        <f>'OKT.WS.G.BPU.ATRR.True-up'!F$93</f>
        <v>28</v>
      </c>
      <c r="E96" s="473" t="s">
        <v>58</v>
      </c>
      <c r="F96" s="409"/>
      <c r="G96" s="409"/>
      <c r="J96" s="477">
        <f>IF(H88="",J95,'OKT.WS.G.BPU.ATRR.True-up'!$F$80)</f>
        <v>0.10641349897030054</v>
      </c>
      <c r="K96" s="292"/>
      <c r="L96" s="295" t="s">
        <v>59</v>
      </c>
      <c r="M96" s="292"/>
      <c r="N96" s="292"/>
      <c r="O96" s="292"/>
      <c r="P96" s="279"/>
    </row>
    <row r="97" spans="1:16" ht="13" thickBot="1">
      <c r="C97" s="473" t="s">
        <v>60</v>
      </c>
      <c r="D97" s="638" t="str">
        <f>+D14</f>
        <v>No</v>
      </c>
      <c r="E97" s="564" t="s">
        <v>62</v>
      </c>
      <c r="F97" s="565"/>
      <c r="G97" s="565"/>
      <c r="H97" s="566"/>
      <c r="I97" s="566"/>
      <c r="J97" s="459">
        <f>IF(D93=0,0,D93/D96)</f>
        <v>3131151.1785714286</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row>
    <row r="100" spans="1:16" ht="12.5">
      <c r="B100" s="145" t="str">
        <f t="shared" ref="B100:B155" si="14">IF(D100=F99,"","IU")</f>
        <v>IU</v>
      </c>
      <c r="C100" s="496">
        <f>IF(D94= "","-",D94)</f>
        <v>2017</v>
      </c>
      <c r="D100" s="497">
        <v>0</v>
      </c>
      <c r="E100" s="499">
        <v>0</v>
      </c>
      <c r="F100" s="506">
        <v>87396515</v>
      </c>
      <c r="G100" s="506">
        <v>43698257.5</v>
      </c>
      <c r="H100" s="499">
        <v>5127372.8083007364</v>
      </c>
      <c r="I100" s="500">
        <v>5127372.8083007364</v>
      </c>
      <c r="J100" s="505">
        <f t="shared" ref="J100:J131" si="15">+I100-H100</f>
        <v>0</v>
      </c>
      <c r="K100" s="505"/>
      <c r="L100" s="507">
        <f>+H100</f>
        <v>5127372.8083007364</v>
      </c>
      <c r="M100" s="505">
        <f t="shared" ref="M100:M131" si="16">IF(L100&lt;&gt;0,+H100-L100,0)</f>
        <v>0</v>
      </c>
      <c r="N100" s="507">
        <f>+I100</f>
        <v>5127372.8083007364</v>
      </c>
      <c r="O100" s="587">
        <f t="shared" ref="O100:O131" si="17">IF(N100&lt;&gt;0,+I100-N100,0)</f>
        <v>0</v>
      </c>
      <c r="P100" s="505">
        <f t="shared" ref="P100:P131" si="18">+O100-M100</f>
        <v>0</v>
      </c>
    </row>
    <row r="101" spans="1:16" ht="12.5">
      <c r="B101" s="145" t="str">
        <f t="shared" si="14"/>
        <v/>
      </c>
      <c r="C101" s="496">
        <f>IF(D94="","-",+C100+1)</f>
        <v>2018</v>
      </c>
      <c r="D101" s="497">
        <v>87396515</v>
      </c>
      <c r="E101" s="499">
        <v>2427680.972222222</v>
      </c>
      <c r="F101" s="506">
        <v>84968834.027777776</v>
      </c>
      <c r="G101" s="506">
        <v>86182674.513888896</v>
      </c>
      <c r="H101" s="499">
        <v>11525335.163817437</v>
      </c>
      <c r="I101" s="500">
        <v>11525335.163817437</v>
      </c>
      <c r="J101" s="505">
        <f t="shared" si="15"/>
        <v>0</v>
      </c>
      <c r="K101" s="505"/>
      <c r="L101" s="507">
        <f>H101</f>
        <v>11525335.163817437</v>
      </c>
      <c r="M101" s="505">
        <f>IF(L101&lt;&gt;0,+H101-L101,0)</f>
        <v>0</v>
      </c>
      <c r="N101" s="507">
        <f>I101</f>
        <v>11525335.163817437</v>
      </c>
      <c r="O101" s="505">
        <f>IF(N101&lt;&gt;0,+I101-N101,0)</f>
        <v>0</v>
      </c>
      <c r="P101" s="505">
        <f>+O101-M101</f>
        <v>0</v>
      </c>
    </row>
    <row r="102" spans="1:16" ht="12.5">
      <c r="B102" s="145" t="str">
        <f t="shared" si="14"/>
        <v>IU</v>
      </c>
      <c r="C102" s="496">
        <f>IF(D94="","-",+C101+1)</f>
        <v>2019</v>
      </c>
      <c r="D102" s="497">
        <v>85829515.027777776</v>
      </c>
      <c r="E102" s="499">
        <v>2451588.777777778</v>
      </c>
      <c r="F102" s="506">
        <v>83377926.25</v>
      </c>
      <c r="G102" s="506">
        <v>84603720.638888896</v>
      </c>
      <c r="H102" s="499">
        <v>11382564.731313506</v>
      </c>
      <c r="I102" s="500">
        <v>11382564.731313506</v>
      </c>
      <c r="J102" s="505">
        <f t="shared" si="15"/>
        <v>0</v>
      </c>
      <c r="K102" s="505"/>
      <c r="L102" s="507">
        <f>H102</f>
        <v>11382564.731313506</v>
      </c>
      <c r="M102" s="505">
        <f>IF(L102&lt;&gt;0,+H102-L102,0)</f>
        <v>0</v>
      </c>
      <c r="N102" s="507">
        <f>I102</f>
        <v>11382564.731313506</v>
      </c>
      <c r="O102" s="505">
        <f t="shared" si="17"/>
        <v>0</v>
      </c>
      <c r="P102" s="505">
        <f t="shared" si="18"/>
        <v>0</v>
      </c>
    </row>
    <row r="103" spans="1:16" ht="12.5">
      <c r="B103" s="145" t="str">
        <f t="shared" si="14"/>
        <v>IU</v>
      </c>
      <c r="C103" s="496">
        <f>IF(D94="","-",+C102+1)</f>
        <v>2020</v>
      </c>
      <c r="D103" s="350">
        <f>IF(F102+SUM(E$100:E102)=D$93,F102,D$93-SUM(E$100:E102))</f>
        <v>82792963.25</v>
      </c>
      <c r="E103" s="510">
        <f t="shared" ref="E103:E132" si="19">IF(+J$97&lt;F102,J$97,D103)</f>
        <v>3131151.1785714286</v>
      </c>
      <c r="F103" s="511">
        <f t="shared" ref="F103:F131" si="20">+D103-E103</f>
        <v>79661812.071428567</v>
      </c>
      <c r="G103" s="511">
        <f t="shared" ref="G103:G131" si="21">+(F103+D103)/2</f>
        <v>81227387.660714284</v>
      </c>
      <c r="H103" s="646">
        <f>(D103+F103)/2*J$95+E103</f>
        <v>11774841.711765051</v>
      </c>
      <c r="I103" s="628">
        <f t="shared" ref="I103:I155" si="22">+J$96*G103+E103</f>
        <v>11774841.711765051</v>
      </c>
      <c r="J103" s="505">
        <f t="shared" si="15"/>
        <v>0</v>
      </c>
      <c r="K103" s="505"/>
      <c r="L103" s="513"/>
      <c r="M103" s="505">
        <f t="shared" si="16"/>
        <v>0</v>
      </c>
      <c r="N103" s="513"/>
      <c r="O103" s="505">
        <f t="shared" si="17"/>
        <v>0</v>
      </c>
      <c r="P103" s="505">
        <f t="shared" si="18"/>
        <v>0</v>
      </c>
    </row>
    <row r="104" spans="1:16" ht="12.5">
      <c r="B104" s="145" t="str">
        <f t="shared" si="14"/>
        <v/>
      </c>
      <c r="C104" s="496">
        <f>IF(D94="","-",+C103+1)</f>
        <v>2021</v>
      </c>
      <c r="D104" s="350">
        <f>IF(F103+SUM(E$100:E103)=D$93,F103,D$93-SUM(E$100:E103))</f>
        <v>79661812.071428567</v>
      </c>
      <c r="E104" s="510">
        <f t="shared" si="19"/>
        <v>3131151.1785714286</v>
      </c>
      <c r="F104" s="511">
        <f t="shared" si="20"/>
        <v>76530660.892857134</v>
      </c>
      <c r="G104" s="511">
        <f t="shared" si="21"/>
        <v>78096236.482142851</v>
      </c>
      <c r="H104" s="646">
        <f t="shared" ref="H104:H155" si="23">(D104+F104)/2*J$95+E104</f>
        <v>11441644.959048284</v>
      </c>
      <c r="I104" s="628">
        <f t="shared" si="22"/>
        <v>11441644.959048284</v>
      </c>
      <c r="J104" s="505">
        <f t="shared" si="15"/>
        <v>0</v>
      </c>
      <c r="K104" s="505"/>
      <c r="L104" s="513"/>
      <c r="M104" s="505">
        <f t="shared" si="16"/>
        <v>0</v>
      </c>
      <c r="N104" s="513"/>
      <c r="O104" s="505">
        <f t="shared" si="17"/>
        <v>0</v>
      </c>
      <c r="P104" s="505">
        <f t="shared" si="18"/>
        <v>0</v>
      </c>
    </row>
    <row r="105" spans="1:16" ht="12.5">
      <c r="B105" s="145" t="str">
        <f t="shared" si="14"/>
        <v/>
      </c>
      <c r="C105" s="496">
        <f>IF(D94="","-",+C104+1)</f>
        <v>2022</v>
      </c>
      <c r="D105" s="350">
        <f>IF(F104+SUM(E$100:E104)=D$93,F104,D$93-SUM(E$100:E104))</f>
        <v>76530660.892857134</v>
      </c>
      <c r="E105" s="510">
        <f t="shared" si="19"/>
        <v>3131151.1785714286</v>
      </c>
      <c r="F105" s="511">
        <f t="shared" si="20"/>
        <v>73399509.714285702</v>
      </c>
      <c r="G105" s="511">
        <f t="shared" si="21"/>
        <v>74965085.303571418</v>
      </c>
      <c r="H105" s="646">
        <f t="shared" si="23"/>
        <v>11108448.206331518</v>
      </c>
      <c r="I105" s="628">
        <f t="shared" si="22"/>
        <v>11108448.206331518</v>
      </c>
      <c r="J105" s="505">
        <f t="shared" si="15"/>
        <v>0</v>
      </c>
      <c r="K105" s="505"/>
      <c r="L105" s="513"/>
      <c r="M105" s="505">
        <f t="shared" si="16"/>
        <v>0</v>
      </c>
      <c r="N105" s="513"/>
      <c r="O105" s="505">
        <f t="shared" si="17"/>
        <v>0</v>
      </c>
      <c r="P105" s="505">
        <f t="shared" si="18"/>
        <v>0</v>
      </c>
    </row>
    <row r="106" spans="1:16" ht="12.5">
      <c r="B106" s="145" t="str">
        <f t="shared" si="14"/>
        <v/>
      </c>
      <c r="C106" s="496">
        <f>IF(D94="","-",+C105+1)</f>
        <v>2023</v>
      </c>
      <c r="D106" s="350">
        <f>IF(F105+SUM(E$100:E105)=D$93,F105,D$93-SUM(E$100:E105))</f>
        <v>73399509.714285702</v>
      </c>
      <c r="E106" s="510">
        <f t="shared" si="19"/>
        <v>3131151.1785714286</v>
      </c>
      <c r="F106" s="511">
        <f t="shared" si="20"/>
        <v>70268358.535714269</v>
      </c>
      <c r="G106" s="511">
        <f t="shared" si="21"/>
        <v>71833934.124999985</v>
      </c>
      <c r="H106" s="646">
        <f t="shared" si="23"/>
        <v>10775251.453614751</v>
      </c>
      <c r="I106" s="628">
        <f t="shared" si="22"/>
        <v>10775251.453614751</v>
      </c>
      <c r="J106" s="505">
        <f t="shared" si="15"/>
        <v>0</v>
      </c>
      <c r="K106" s="505"/>
      <c r="L106" s="513"/>
      <c r="M106" s="505">
        <f t="shared" si="16"/>
        <v>0</v>
      </c>
      <c r="N106" s="513"/>
      <c r="O106" s="505">
        <f t="shared" si="17"/>
        <v>0</v>
      </c>
      <c r="P106" s="505">
        <f t="shared" si="18"/>
        <v>0</v>
      </c>
    </row>
    <row r="107" spans="1:16" ht="12.5">
      <c r="B107" s="145" t="str">
        <f t="shared" si="14"/>
        <v/>
      </c>
      <c r="C107" s="496">
        <f>IF(D94="","-",+C106+1)</f>
        <v>2024</v>
      </c>
      <c r="D107" s="350">
        <f>IF(F106+SUM(E$100:E106)=D$93,F106,D$93-SUM(E$100:E106))</f>
        <v>70268358.535714269</v>
      </c>
      <c r="E107" s="510">
        <f t="shared" si="19"/>
        <v>3131151.1785714286</v>
      </c>
      <c r="F107" s="511">
        <f t="shared" si="20"/>
        <v>67137207.357142836</v>
      </c>
      <c r="G107" s="511">
        <f t="shared" si="21"/>
        <v>68702782.946428552</v>
      </c>
      <c r="H107" s="646">
        <f t="shared" si="23"/>
        <v>10442054.700897984</v>
      </c>
      <c r="I107" s="628">
        <f t="shared" si="22"/>
        <v>10442054.700897984</v>
      </c>
      <c r="J107" s="505">
        <f t="shared" si="15"/>
        <v>0</v>
      </c>
      <c r="K107" s="505"/>
      <c r="L107" s="513"/>
      <c r="M107" s="505">
        <f t="shared" si="16"/>
        <v>0</v>
      </c>
      <c r="N107" s="513"/>
      <c r="O107" s="505">
        <f t="shared" si="17"/>
        <v>0</v>
      </c>
      <c r="P107" s="505">
        <f t="shared" si="18"/>
        <v>0</v>
      </c>
    </row>
    <row r="108" spans="1:16" ht="12.5">
      <c r="B108" s="145" t="str">
        <f t="shared" si="14"/>
        <v/>
      </c>
      <c r="C108" s="496">
        <f>IF(D94="","-",+C107+1)</f>
        <v>2025</v>
      </c>
      <c r="D108" s="350">
        <f>IF(F107+SUM(E$100:E107)=D$93,F107,D$93-SUM(E$100:E107))</f>
        <v>67137207.357142836</v>
      </c>
      <c r="E108" s="510">
        <f t="shared" si="19"/>
        <v>3131151.1785714286</v>
      </c>
      <c r="F108" s="511">
        <f t="shared" si="20"/>
        <v>64006056.17857141</v>
      </c>
      <c r="G108" s="511">
        <f t="shared" si="21"/>
        <v>65571631.767857119</v>
      </c>
      <c r="H108" s="646">
        <f t="shared" si="23"/>
        <v>10108857.948181219</v>
      </c>
      <c r="I108" s="628">
        <f t="shared" si="22"/>
        <v>10108857.948181219</v>
      </c>
      <c r="J108" s="505">
        <f t="shared" si="15"/>
        <v>0</v>
      </c>
      <c r="K108" s="505"/>
      <c r="L108" s="513"/>
      <c r="M108" s="505">
        <f t="shared" si="16"/>
        <v>0</v>
      </c>
      <c r="N108" s="513"/>
      <c r="O108" s="505">
        <f t="shared" si="17"/>
        <v>0</v>
      </c>
      <c r="P108" s="505">
        <f t="shared" si="18"/>
        <v>0</v>
      </c>
    </row>
    <row r="109" spans="1:16" ht="12.5">
      <c r="B109" s="145" t="str">
        <f t="shared" si="14"/>
        <v/>
      </c>
      <c r="C109" s="496">
        <f>IF(D94="","-",+C108+1)</f>
        <v>2026</v>
      </c>
      <c r="D109" s="350">
        <f>IF(F108+SUM(E$100:E108)=D$93,F108,D$93-SUM(E$100:E108))</f>
        <v>64006056.17857141</v>
      </c>
      <c r="E109" s="510">
        <f t="shared" si="19"/>
        <v>3131151.1785714286</v>
      </c>
      <c r="F109" s="511">
        <f t="shared" si="20"/>
        <v>60874904.999999985</v>
      </c>
      <c r="G109" s="511">
        <f t="shared" si="21"/>
        <v>62440480.589285702</v>
      </c>
      <c r="H109" s="646">
        <f t="shared" si="23"/>
        <v>9775661.1954644546</v>
      </c>
      <c r="I109" s="628">
        <f t="shared" si="22"/>
        <v>9775661.1954644546</v>
      </c>
      <c r="J109" s="505">
        <f t="shared" si="15"/>
        <v>0</v>
      </c>
      <c r="K109" s="505"/>
      <c r="L109" s="513"/>
      <c r="M109" s="505">
        <f t="shared" si="16"/>
        <v>0</v>
      </c>
      <c r="N109" s="513"/>
      <c r="O109" s="505">
        <f t="shared" si="17"/>
        <v>0</v>
      </c>
      <c r="P109" s="505">
        <f t="shared" si="18"/>
        <v>0</v>
      </c>
    </row>
    <row r="110" spans="1:16" ht="12.5">
      <c r="B110" s="145" t="str">
        <f t="shared" si="14"/>
        <v/>
      </c>
      <c r="C110" s="496">
        <f>IF(D94="","-",+C109+1)</f>
        <v>2027</v>
      </c>
      <c r="D110" s="350">
        <f>IF(F109+SUM(E$100:E109)=D$93,F109,D$93-SUM(E$100:E109))</f>
        <v>60874904.999999985</v>
      </c>
      <c r="E110" s="510">
        <f t="shared" si="19"/>
        <v>3131151.1785714286</v>
      </c>
      <c r="F110" s="511">
        <f t="shared" si="20"/>
        <v>57743753.82142856</v>
      </c>
      <c r="G110" s="511">
        <f t="shared" si="21"/>
        <v>59309329.410714269</v>
      </c>
      <c r="H110" s="646">
        <f t="shared" si="23"/>
        <v>9442464.4427476879</v>
      </c>
      <c r="I110" s="628">
        <f t="shared" si="22"/>
        <v>9442464.4427476879</v>
      </c>
      <c r="J110" s="505">
        <f t="shared" si="15"/>
        <v>0</v>
      </c>
      <c r="K110" s="505"/>
      <c r="L110" s="513"/>
      <c r="M110" s="505">
        <f t="shared" si="16"/>
        <v>0</v>
      </c>
      <c r="N110" s="513"/>
      <c r="O110" s="505">
        <f t="shared" si="17"/>
        <v>0</v>
      </c>
      <c r="P110" s="505">
        <f t="shared" si="18"/>
        <v>0</v>
      </c>
    </row>
    <row r="111" spans="1:16" ht="12.5">
      <c r="B111" s="145" t="str">
        <f t="shared" si="14"/>
        <v/>
      </c>
      <c r="C111" s="496">
        <f>IF(D94="","-",+C110+1)</f>
        <v>2028</v>
      </c>
      <c r="D111" s="350">
        <f>IF(F110+SUM(E$100:E110)=D$93,F110,D$93-SUM(E$100:E110))</f>
        <v>57743753.82142856</v>
      </c>
      <c r="E111" s="510">
        <f t="shared" si="19"/>
        <v>3131151.1785714286</v>
      </c>
      <c r="F111" s="511">
        <f t="shared" si="20"/>
        <v>54612602.642857134</v>
      </c>
      <c r="G111" s="511">
        <f t="shared" si="21"/>
        <v>56178178.232142851</v>
      </c>
      <c r="H111" s="646">
        <f t="shared" si="23"/>
        <v>9109267.6900309231</v>
      </c>
      <c r="I111" s="628">
        <f t="shared" si="22"/>
        <v>9109267.6900309231</v>
      </c>
      <c r="J111" s="505">
        <f t="shared" si="15"/>
        <v>0</v>
      </c>
      <c r="K111" s="505"/>
      <c r="L111" s="513"/>
      <c r="M111" s="505">
        <f t="shared" si="16"/>
        <v>0</v>
      </c>
      <c r="N111" s="513"/>
      <c r="O111" s="505">
        <f t="shared" si="17"/>
        <v>0</v>
      </c>
      <c r="P111" s="505">
        <f t="shared" si="18"/>
        <v>0</v>
      </c>
    </row>
    <row r="112" spans="1:16" ht="12.5">
      <c r="B112" s="145" t="str">
        <f t="shared" si="14"/>
        <v/>
      </c>
      <c r="C112" s="496">
        <f>IF(D94="","-",+C111+1)</f>
        <v>2029</v>
      </c>
      <c r="D112" s="350">
        <f>IF(F111+SUM(E$100:E111)=D$93,F111,D$93-SUM(E$100:E111))</f>
        <v>54612602.642857134</v>
      </c>
      <c r="E112" s="510">
        <f t="shared" si="19"/>
        <v>3131151.1785714286</v>
      </c>
      <c r="F112" s="511">
        <f t="shared" si="20"/>
        <v>51481451.464285709</v>
      </c>
      <c r="G112" s="511">
        <f t="shared" si="21"/>
        <v>53047027.053571418</v>
      </c>
      <c r="H112" s="646">
        <f t="shared" si="23"/>
        <v>8776070.9373141564</v>
      </c>
      <c r="I112" s="628">
        <f t="shared" si="22"/>
        <v>8776070.9373141564</v>
      </c>
      <c r="J112" s="505">
        <f t="shared" si="15"/>
        <v>0</v>
      </c>
      <c r="K112" s="505"/>
      <c r="L112" s="513"/>
      <c r="M112" s="505">
        <f t="shared" si="16"/>
        <v>0</v>
      </c>
      <c r="N112" s="513"/>
      <c r="O112" s="505">
        <f t="shared" si="17"/>
        <v>0</v>
      </c>
      <c r="P112" s="505">
        <f t="shared" si="18"/>
        <v>0</v>
      </c>
    </row>
    <row r="113" spans="2:16" ht="12.5">
      <c r="B113" s="145" t="str">
        <f t="shared" si="14"/>
        <v/>
      </c>
      <c r="C113" s="496">
        <f>IF(D94="","-",+C112+1)</f>
        <v>2030</v>
      </c>
      <c r="D113" s="350">
        <f>IF(F112+SUM(E$100:E112)=D$93,F112,D$93-SUM(E$100:E112))</f>
        <v>51481451.464285709</v>
      </c>
      <c r="E113" s="510">
        <f t="shared" si="19"/>
        <v>3131151.1785714286</v>
      </c>
      <c r="F113" s="511">
        <f t="shared" si="20"/>
        <v>48350300.285714284</v>
      </c>
      <c r="G113" s="511">
        <f t="shared" si="21"/>
        <v>49915875.875</v>
      </c>
      <c r="H113" s="646">
        <f t="shared" si="23"/>
        <v>8442874.1845973916</v>
      </c>
      <c r="I113" s="628">
        <f t="shared" si="22"/>
        <v>8442874.1845973916</v>
      </c>
      <c r="J113" s="505">
        <f t="shared" si="15"/>
        <v>0</v>
      </c>
      <c r="K113" s="505"/>
      <c r="L113" s="513"/>
      <c r="M113" s="505">
        <f t="shared" si="16"/>
        <v>0</v>
      </c>
      <c r="N113" s="513"/>
      <c r="O113" s="505">
        <f t="shared" si="17"/>
        <v>0</v>
      </c>
      <c r="P113" s="505">
        <f t="shared" si="18"/>
        <v>0</v>
      </c>
    </row>
    <row r="114" spans="2:16" ht="12.5">
      <c r="B114" s="145" t="str">
        <f t="shared" si="14"/>
        <v/>
      </c>
      <c r="C114" s="496">
        <f>IF(D94="","-",+C113+1)</f>
        <v>2031</v>
      </c>
      <c r="D114" s="350">
        <f>IF(F113+SUM(E$100:E113)=D$93,F113,D$93-SUM(E$100:E113))</f>
        <v>48350300.285714284</v>
      </c>
      <c r="E114" s="510">
        <f t="shared" si="19"/>
        <v>3131151.1785714286</v>
      </c>
      <c r="F114" s="511">
        <f t="shared" si="20"/>
        <v>45219149.107142858</v>
      </c>
      <c r="G114" s="511">
        <f t="shared" si="21"/>
        <v>46784724.696428567</v>
      </c>
      <c r="H114" s="646">
        <f t="shared" si="23"/>
        <v>8109677.431880625</v>
      </c>
      <c r="I114" s="628">
        <f t="shared" si="22"/>
        <v>8109677.431880625</v>
      </c>
      <c r="J114" s="505">
        <f t="shared" si="15"/>
        <v>0</v>
      </c>
      <c r="K114" s="505"/>
      <c r="L114" s="513"/>
      <c r="M114" s="505">
        <f t="shared" si="16"/>
        <v>0</v>
      </c>
      <c r="N114" s="513"/>
      <c r="O114" s="505">
        <f t="shared" si="17"/>
        <v>0</v>
      </c>
      <c r="P114" s="505">
        <f t="shared" si="18"/>
        <v>0</v>
      </c>
    </row>
    <row r="115" spans="2:16" ht="12.5">
      <c r="B115" s="145" t="str">
        <f t="shared" si="14"/>
        <v/>
      </c>
      <c r="C115" s="496">
        <f>IF(D94="","-",+C114+1)</f>
        <v>2032</v>
      </c>
      <c r="D115" s="350">
        <f>IF(F114+SUM(E$100:E114)=D$93,F114,D$93-SUM(E$100:E114))</f>
        <v>45219149.107142858</v>
      </c>
      <c r="E115" s="510">
        <f t="shared" si="19"/>
        <v>3131151.1785714286</v>
      </c>
      <c r="F115" s="511">
        <f t="shared" si="20"/>
        <v>42087997.928571433</v>
      </c>
      <c r="G115" s="511">
        <f t="shared" si="21"/>
        <v>43653573.517857149</v>
      </c>
      <c r="H115" s="646">
        <f t="shared" si="23"/>
        <v>7776480.6791638602</v>
      </c>
      <c r="I115" s="628">
        <f t="shared" si="22"/>
        <v>7776480.6791638602</v>
      </c>
      <c r="J115" s="505">
        <f t="shared" si="15"/>
        <v>0</v>
      </c>
      <c r="K115" s="505"/>
      <c r="L115" s="513"/>
      <c r="M115" s="505">
        <f t="shared" si="16"/>
        <v>0</v>
      </c>
      <c r="N115" s="513"/>
      <c r="O115" s="505">
        <f t="shared" si="17"/>
        <v>0</v>
      </c>
      <c r="P115" s="505">
        <f t="shared" si="18"/>
        <v>0</v>
      </c>
    </row>
    <row r="116" spans="2:16" ht="12.5">
      <c r="B116" s="145" t="str">
        <f t="shared" si="14"/>
        <v/>
      </c>
      <c r="C116" s="496">
        <f>IF(D94="","-",+C115+1)</f>
        <v>2033</v>
      </c>
      <c r="D116" s="350">
        <f>IF(F115+SUM(E$100:E115)=D$93,F115,D$93-SUM(E$100:E115))</f>
        <v>42087997.928571433</v>
      </c>
      <c r="E116" s="510">
        <f t="shared" si="19"/>
        <v>3131151.1785714286</v>
      </c>
      <c r="F116" s="511">
        <f t="shared" si="20"/>
        <v>38956846.750000007</v>
      </c>
      <c r="G116" s="511">
        <f t="shared" si="21"/>
        <v>40522422.339285716</v>
      </c>
      <c r="H116" s="646">
        <f t="shared" si="23"/>
        <v>7443283.9264470935</v>
      </c>
      <c r="I116" s="628">
        <f t="shared" si="22"/>
        <v>7443283.9264470935</v>
      </c>
      <c r="J116" s="505">
        <f t="shared" si="15"/>
        <v>0</v>
      </c>
      <c r="K116" s="505"/>
      <c r="L116" s="513"/>
      <c r="M116" s="505">
        <f t="shared" si="16"/>
        <v>0</v>
      </c>
      <c r="N116" s="513"/>
      <c r="O116" s="505">
        <f t="shared" si="17"/>
        <v>0</v>
      </c>
      <c r="P116" s="505">
        <f t="shared" si="18"/>
        <v>0</v>
      </c>
    </row>
    <row r="117" spans="2:16" ht="12.5">
      <c r="B117" s="145" t="str">
        <f t="shared" si="14"/>
        <v/>
      </c>
      <c r="C117" s="496">
        <f>IF(D94="","-",+C116+1)</f>
        <v>2034</v>
      </c>
      <c r="D117" s="350">
        <f>IF(F116+SUM(E$100:E116)=D$93,F116,D$93-SUM(E$100:E116))</f>
        <v>38956846.750000007</v>
      </c>
      <c r="E117" s="510">
        <f t="shared" si="19"/>
        <v>3131151.1785714286</v>
      </c>
      <c r="F117" s="511">
        <f t="shared" si="20"/>
        <v>35825695.571428582</v>
      </c>
      <c r="G117" s="511">
        <f t="shared" si="21"/>
        <v>37391271.160714298</v>
      </c>
      <c r="H117" s="646">
        <f t="shared" si="23"/>
        <v>7110087.1737303287</v>
      </c>
      <c r="I117" s="628">
        <f t="shared" si="22"/>
        <v>7110087.1737303287</v>
      </c>
      <c r="J117" s="505">
        <f t="shared" si="15"/>
        <v>0</v>
      </c>
      <c r="K117" s="505"/>
      <c r="L117" s="513"/>
      <c r="M117" s="505">
        <f t="shared" si="16"/>
        <v>0</v>
      </c>
      <c r="N117" s="513"/>
      <c r="O117" s="505">
        <f t="shared" si="17"/>
        <v>0</v>
      </c>
      <c r="P117" s="505">
        <f t="shared" si="18"/>
        <v>0</v>
      </c>
    </row>
    <row r="118" spans="2:16" ht="12.5">
      <c r="B118" s="145" t="str">
        <f t="shared" si="14"/>
        <v/>
      </c>
      <c r="C118" s="496">
        <f>IF(D94="","-",+C117+1)</f>
        <v>2035</v>
      </c>
      <c r="D118" s="350">
        <f>IF(F117+SUM(E$100:E117)=D$93,F117,D$93-SUM(E$100:E117))</f>
        <v>35825695.571428582</v>
      </c>
      <c r="E118" s="510">
        <f t="shared" si="19"/>
        <v>3131151.1785714286</v>
      </c>
      <c r="F118" s="511">
        <f t="shared" si="20"/>
        <v>32694544.392857153</v>
      </c>
      <c r="G118" s="511">
        <f t="shared" si="21"/>
        <v>34260119.982142866</v>
      </c>
      <c r="H118" s="646">
        <f t="shared" si="23"/>
        <v>6776890.421013562</v>
      </c>
      <c r="I118" s="628">
        <f t="shared" si="22"/>
        <v>6776890.421013562</v>
      </c>
      <c r="J118" s="505">
        <f t="shared" si="15"/>
        <v>0</v>
      </c>
      <c r="K118" s="505"/>
      <c r="L118" s="513"/>
      <c r="M118" s="505">
        <f t="shared" si="16"/>
        <v>0</v>
      </c>
      <c r="N118" s="513"/>
      <c r="O118" s="505">
        <f t="shared" si="17"/>
        <v>0</v>
      </c>
      <c r="P118" s="505">
        <f t="shared" si="18"/>
        <v>0</v>
      </c>
    </row>
    <row r="119" spans="2:16" ht="12.5">
      <c r="B119" s="145" t="str">
        <f t="shared" si="14"/>
        <v/>
      </c>
      <c r="C119" s="496">
        <f>IF(D94="","-",+C118+1)</f>
        <v>2036</v>
      </c>
      <c r="D119" s="350">
        <f>IF(F118+SUM(E$100:E118)=D$93,F118,D$93-SUM(E$100:E118))</f>
        <v>32694544.392857153</v>
      </c>
      <c r="E119" s="510">
        <f t="shared" si="19"/>
        <v>3131151.1785714286</v>
      </c>
      <c r="F119" s="511">
        <f t="shared" si="20"/>
        <v>29563393.214285724</v>
      </c>
      <c r="G119" s="511">
        <f t="shared" si="21"/>
        <v>31128968.80357144</v>
      </c>
      <c r="H119" s="646">
        <f t="shared" si="23"/>
        <v>6443693.6682967953</v>
      </c>
      <c r="I119" s="628">
        <f t="shared" si="22"/>
        <v>6443693.6682967953</v>
      </c>
      <c r="J119" s="505">
        <f t="shared" si="15"/>
        <v>0</v>
      </c>
      <c r="K119" s="505"/>
      <c r="L119" s="513"/>
      <c r="M119" s="505">
        <f t="shared" si="16"/>
        <v>0</v>
      </c>
      <c r="N119" s="513"/>
      <c r="O119" s="505">
        <f t="shared" si="17"/>
        <v>0</v>
      </c>
      <c r="P119" s="505">
        <f t="shared" si="18"/>
        <v>0</v>
      </c>
    </row>
    <row r="120" spans="2:16" ht="12.5">
      <c r="B120" s="145" t="str">
        <f t="shared" si="14"/>
        <v/>
      </c>
      <c r="C120" s="496">
        <f>IF(D94="","-",+C119+1)</f>
        <v>2037</v>
      </c>
      <c r="D120" s="350">
        <f>IF(F119+SUM(E$100:E119)=D$93,F119,D$93-SUM(E$100:E119))</f>
        <v>29563393.214285724</v>
      </c>
      <c r="E120" s="510">
        <f t="shared" si="19"/>
        <v>3131151.1785714286</v>
      </c>
      <c r="F120" s="511">
        <f t="shared" si="20"/>
        <v>26432242.035714295</v>
      </c>
      <c r="G120" s="511">
        <f t="shared" si="21"/>
        <v>27997817.625000007</v>
      </c>
      <c r="H120" s="646">
        <f t="shared" si="23"/>
        <v>6110496.9155800287</v>
      </c>
      <c r="I120" s="628">
        <f t="shared" si="22"/>
        <v>6110496.9155800287</v>
      </c>
      <c r="J120" s="505">
        <f t="shared" si="15"/>
        <v>0</v>
      </c>
      <c r="K120" s="505"/>
      <c r="L120" s="513"/>
      <c r="M120" s="505">
        <f t="shared" si="16"/>
        <v>0</v>
      </c>
      <c r="N120" s="513"/>
      <c r="O120" s="505">
        <f t="shared" si="17"/>
        <v>0</v>
      </c>
      <c r="P120" s="505">
        <f t="shared" si="18"/>
        <v>0</v>
      </c>
    </row>
    <row r="121" spans="2:16" ht="12.5">
      <c r="B121" s="145" t="str">
        <f t="shared" si="14"/>
        <v/>
      </c>
      <c r="C121" s="496">
        <f>IF(D94="","-",+C120+1)</f>
        <v>2038</v>
      </c>
      <c r="D121" s="350">
        <f>IF(F120+SUM(E$100:E120)=D$93,F120,D$93-SUM(E$100:E120))</f>
        <v>26432242.035714295</v>
      </c>
      <c r="E121" s="510">
        <f t="shared" si="19"/>
        <v>3131151.1785714286</v>
      </c>
      <c r="F121" s="511">
        <f t="shared" si="20"/>
        <v>23301090.857142866</v>
      </c>
      <c r="G121" s="511">
        <f t="shared" si="21"/>
        <v>24866666.446428582</v>
      </c>
      <c r="H121" s="646">
        <f t="shared" si="23"/>
        <v>5777300.1628632639</v>
      </c>
      <c r="I121" s="628">
        <f t="shared" si="22"/>
        <v>5777300.1628632639</v>
      </c>
      <c r="J121" s="505">
        <f t="shared" si="15"/>
        <v>0</v>
      </c>
      <c r="K121" s="505"/>
      <c r="L121" s="513"/>
      <c r="M121" s="505">
        <f t="shared" si="16"/>
        <v>0</v>
      </c>
      <c r="N121" s="513"/>
      <c r="O121" s="505">
        <f t="shared" si="17"/>
        <v>0</v>
      </c>
      <c r="P121" s="505">
        <f t="shared" si="18"/>
        <v>0</v>
      </c>
    </row>
    <row r="122" spans="2:16" ht="12.5">
      <c r="B122" s="145" t="str">
        <f t="shared" si="14"/>
        <v/>
      </c>
      <c r="C122" s="496">
        <f>IF(D94="","-",+C121+1)</f>
        <v>2039</v>
      </c>
      <c r="D122" s="350">
        <f>IF(F121+SUM(E$100:E121)=D$93,F121,D$93-SUM(E$100:E121))</f>
        <v>23301090.857142866</v>
      </c>
      <c r="E122" s="510">
        <f t="shared" si="19"/>
        <v>3131151.1785714286</v>
      </c>
      <c r="F122" s="511">
        <f t="shared" si="20"/>
        <v>20169939.678571437</v>
      </c>
      <c r="G122" s="511">
        <f t="shared" si="21"/>
        <v>21735515.267857149</v>
      </c>
      <c r="H122" s="646">
        <f t="shared" si="23"/>
        <v>5444103.4101464972</v>
      </c>
      <c r="I122" s="628">
        <f t="shared" si="22"/>
        <v>5444103.4101464972</v>
      </c>
      <c r="J122" s="505">
        <f t="shared" si="15"/>
        <v>0</v>
      </c>
      <c r="K122" s="505"/>
      <c r="L122" s="513"/>
      <c r="M122" s="505">
        <f t="shared" si="16"/>
        <v>0</v>
      </c>
      <c r="N122" s="513"/>
      <c r="O122" s="505">
        <f t="shared" si="17"/>
        <v>0</v>
      </c>
      <c r="P122" s="505">
        <f t="shared" si="18"/>
        <v>0</v>
      </c>
    </row>
    <row r="123" spans="2:16" ht="12.5">
      <c r="B123" s="145" t="str">
        <f t="shared" si="14"/>
        <v/>
      </c>
      <c r="C123" s="496">
        <f>IF(D94="","-",+C122+1)</f>
        <v>2040</v>
      </c>
      <c r="D123" s="350">
        <f>IF(F122+SUM(E$100:E122)=D$93,F122,D$93-SUM(E$100:E122))</f>
        <v>20169939.678571437</v>
      </c>
      <c r="E123" s="510">
        <f t="shared" si="19"/>
        <v>3131151.1785714286</v>
      </c>
      <c r="F123" s="511">
        <f t="shared" si="20"/>
        <v>17038788.500000007</v>
      </c>
      <c r="G123" s="511">
        <f t="shared" si="21"/>
        <v>18604364.089285724</v>
      </c>
      <c r="H123" s="646">
        <f t="shared" si="23"/>
        <v>5110906.6574297315</v>
      </c>
      <c r="I123" s="628">
        <f t="shared" si="22"/>
        <v>5110906.6574297315</v>
      </c>
      <c r="J123" s="505">
        <f t="shared" si="15"/>
        <v>0</v>
      </c>
      <c r="K123" s="505"/>
      <c r="L123" s="513"/>
      <c r="M123" s="505">
        <f t="shared" si="16"/>
        <v>0</v>
      </c>
      <c r="N123" s="513"/>
      <c r="O123" s="505">
        <f t="shared" si="17"/>
        <v>0</v>
      </c>
      <c r="P123" s="505">
        <f t="shared" si="18"/>
        <v>0</v>
      </c>
    </row>
    <row r="124" spans="2:16" ht="12.5">
      <c r="B124" s="145" t="str">
        <f t="shared" si="14"/>
        <v/>
      </c>
      <c r="C124" s="496">
        <f>IF(D94="","-",+C123+1)</f>
        <v>2041</v>
      </c>
      <c r="D124" s="350">
        <f>IF(F123+SUM(E$100:E123)=D$93,F123,D$93-SUM(E$100:E123))</f>
        <v>17038788.500000007</v>
      </c>
      <c r="E124" s="510">
        <f t="shared" si="19"/>
        <v>3131151.1785714286</v>
      </c>
      <c r="F124" s="511">
        <f t="shared" si="20"/>
        <v>13907637.321428578</v>
      </c>
      <c r="G124" s="511">
        <f t="shared" si="21"/>
        <v>15473212.910714293</v>
      </c>
      <c r="H124" s="646">
        <f t="shared" si="23"/>
        <v>4777709.9047129648</v>
      </c>
      <c r="I124" s="628">
        <f t="shared" si="22"/>
        <v>4777709.9047129648</v>
      </c>
      <c r="J124" s="505">
        <f t="shared" si="15"/>
        <v>0</v>
      </c>
      <c r="K124" s="505"/>
      <c r="L124" s="513"/>
      <c r="M124" s="505">
        <f t="shared" si="16"/>
        <v>0</v>
      </c>
      <c r="N124" s="513"/>
      <c r="O124" s="505">
        <f t="shared" si="17"/>
        <v>0</v>
      </c>
      <c r="P124" s="505">
        <f t="shared" si="18"/>
        <v>0</v>
      </c>
    </row>
    <row r="125" spans="2:16" ht="12.5">
      <c r="B125" s="145" t="str">
        <f t="shared" si="14"/>
        <v/>
      </c>
      <c r="C125" s="496">
        <f>IF(D94="","-",+C124+1)</f>
        <v>2042</v>
      </c>
      <c r="D125" s="350">
        <f>IF(F124+SUM(E$100:E124)=D$93,F124,D$93-SUM(E$100:E124))</f>
        <v>13907637.321428578</v>
      </c>
      <c r="E125" s="510">
        <f t="shared" si="19"/>
        <v>3131151.1785714286</v>
      </c>
      <c r="F125" s="511">
        <f t="shared" si="20"/>
        <v>10776486.142857149</v>
      </c>
      <c r="G125" s="511">
        <f t="shared" si="21"/>
        <v>12342061.732142864</v>
      </c>
      <c r="H125" s="646">
        <f t="shared" si="23"/>
        <v>4444513.151996199</v>
      </c>
      <c r="I125" s="628">
        <f t="shared" si="22"/>
        <v>4444513.151996199</v>
      </c>
      <c r="J125" s="505">
        <f t="shared" si="15"/>
        <v>0</v>
      </c>
      <c r="K125" s="505"/>
      <c r="L125" s="513"/>
      <c r="M125" s="505">
        <f t="shared" si="16"/>
        <v>0</v>
      </c>
      <c r="N125" s="513"/>
      <c r="O125" s="505">
        <f t="shared" si="17"/>
        <v>0</v>
      </c>
      <c r="P125" s="505">
        <f t="shared" si="18"/>
        <v>0</v>
      </c>
    </row>
    <row r="126" spans="2:16" ht="12.5">
      <c r="B126" s="145" t="str">
        <f t="shared" si="14"/>
        <v/>
      </c>
      <c r="C126" s="496">
        <f>IF(D94="","-",+C125+1)</f>
        <v>2043</v>
      </c>
      <c r="D126" s="350">
        <f>IF(F125+SUM(E$100:E125)=D$93,F125,D$93-SUM(E$100:E125))</f>
        <v>10776486.142857149</v>
      </c>
      <c r="E126" s="510">
        <f t="shared" si="19"/>
        <v>3131151.1785714286</v>
      </c>
      <c r="F126" s="511">
        <f t="shared" si="20"/>
        <v>7645334.9642857201</v>
      </c>
      <c r="G126" s="511">
        <f t="shared" si="21"/>
        <v>9210910.5535714347</v>
      </c>
      <c r="H126" s="646">
        <f t="shared" si="23"/>
        <v>4111316.3992794328</v>
      </c>
      <c r="I126" s="628">
        <f t="shared" si="22"/>
        <v>4111316.3992794328</v>
      </c>
      <c r="J126" s="505">
        <f t="shared" si="15"/>
        <v>0</v>
      </c>
      <c r="K126" s="505"/>
      <c r="L126" s="513"/>
      <c r="M126" s="505">
        <f t="shared" si="16"/>
        <v>0</v>
      </c>
      <c r="N126" s="513"/>
      <c r="O126" s="505">
        <f t="shared" si="17"/>
        <v>0</v>
      </c>
      <c r="P126" s="505">
        <f t="shared" si="18"/>
        <v>0</v>
      </c>
    </row>
    <row r="127" spans="2:16" ht="12.5">
      <c r="B127" s="145" t="str">
        <f t="shared" si="14"/>
        <v/>
      </c>
      <c r="C127" s="496">
        <f>IF(D94="","-",+C126+1)</f>
        <v>2044</v>
      </c>
      <c r="D127" s="350">
        <f>IF(F126+SUM(E$100:E126)=D$93,F126,D$93-SUM(E$100:E126))</f>
        <v>7645334.9642857201</v>
      </c>
      <c r="E127" s="510">
        <f t="shared" si="19"/>
        <v>3131151.1785714286</v>
      </c>
      <c r="F127" s="511">
        <f t="shared" si="20"/>
        <v>4514183.785714291</v>
      </c>
      <c r="G127" s="511">
        <f t="shared" si="21"/>
        <v>6079759.3750000056</v>
      </c>
      <c r="H127" s="646">
        <f t="shared" si="23"/>
        <v>3778119.6465626666</v>
      </c>
      <c r="I127" s="628">
        <f t="shared" si="22"/>
        <v>3778119.6465626666</v>
      </c>
      <c r="J127" s="505">
        <f t="shared" si="15"/>
        <v>0</v>
      </c>
      <c r="K127" s="505"/>
      <c r="L127" s="513"/>
      <c r="M127" s="505">
        <f t="shared" si="16"/>
        <v>0</v>
      </c>
      <c r="N127" s="513"/>
      <c r="O127" s="505">
        <f t="shared" si="17"/>
        <v>0</v>
      </c>
      <c r="P127" s="505">
        <f t="shared" si="18"/>
        <v>0</v>
      </c>
    </row>
    <row r="128" spans="2:16" ht="12.5">
      <c r="B128" s="145" t="str">
        <f t="shared" si="14"/>
        <v/>
      </c>
      <c r="C128" s="496">
        <f>IF(D94="","-",+C127+1)</f>
        <v>2045</v>
      </c>
      <c r="D128" s="350">
        <f>IF(F127+SUM(E$100:E127)=D$93,F127,D$93-SUM(E$100:E127))</f>
        <v>4514183.785714291</v>
      </c>
      <c r="E128" s="510">
        <f t="shared" si="19"/>
        <v>3131151.1785714286</v>
      </c>
      <c r="F128" s="511">
        <f t="shared" si="20"/>
        <v>1383032.6071428624</v>
      </c>
      <c r="G128" s="511">
        <f t="shared" si="21"/>
        <v>2948608.1964285765</v>
      </c>
      <c r="H128" s="646">
        <f t="shared" si="23"/>
        <v>3444922.8938459009</v>
      </c>
      <c r="I128" s="628">
        <f t="shared" si="22"/>
        <v>3444922.8938459009</v>
      </c>
      <c r="J128" s="505">
        <f t="shared" si="15"/>
        <v>0</v>
      </c>
      <c r="K128" s="505"/>
      <c r="L128" s="513"/>
      <c r="M128" s="505">
        <f t="shared" si="16"/>
        <v>0</v>
      </c>
      <c r="N128" s="513"/>
      <c r="O128" s="505">
        <f t="shared" si="17"/>
        <v>0</v>
      </c>
      <c r="P128" s="505">
        <f t="shared" si="18"/>
        <v>0</v>
      </c>
    </row>
    <row r="129" spans="2:16" ht="12.5">
      <c r="B129" s="145" t="str">
        <f t="shared" si="14"/>
        <v/>
      </c>
      <c r="C129" s="496">
        <f>IF(D94="","-",+C128+1)</f>
        <v>2046</v>
      </c>
      <c r="D129" s="350">
        <f>IF(F128+SUM(E$100:E128)=D$93,F128,D$93-SUM(E$100:E128))</f>
        <v>1383032.6071428624</v>
      </c>
      <c r="E129" s="510">
        <f t="shared" si="19"/>
        <v>1383032.6071428624</v>
      </c>
      <c r="F129" s="511">
        <f t="shared" si="20"/>
        <v>0</v>
      </c>
      <c r="G129" s="511">
        <f t="shared" si="21"/>
        <v>691516.3035714312</v>
      </c>
      <c r="H129" s="646">
        <f t="shared" si="23"/>
        <v>1456619.2766009069</v>
      </c>
      <c r="I129" s="628">
        <f t="shared" si="22"/>
        <v>1456619.2766009069</v>
      </c>
      <c r="J129" s="505">
        <f t="shared" si="15"/>
        <v>0</v>
      </c>
      <c r="K129" s="505"/>
      <c r="L129" s="513"/>
      <c r="M129" s="505">
        <f t="shared" si="16"/>
        <v>0</v>
      </c>
      <c r="N129" s="513"/>
      <c r="O129" s="505">
        <f t="shared" si="17"/>
        <v>0</v>
      </c>
      <c r="P129" s="505">
        <f t="shared" si="18"/>
        <v>0</v>
      </c>
    </row>
    <row r="130" spans="2:16" ht="12.5">
      <c r="B130" s="145" t="str">
        <f t="shared" si="14"/>
        <v/>
      </c>
      <c r="C130" s="496">
        <f>IF(D94="","-",+C129+1)</f>
        <v>2047</v>
      </c>
      <c r="D130" s="350">
        <f>IF(F129+SUM(E$100:E129)=D$93,F129,D$93-SUM(E$100:E129))</f>
        <v>0</v>
      </c>
      <c r="E130" s="510">
        <f t="shared" si="19"/>
        <v>0</v>
      </c>
      <c r="F130" s="511">
        <f t="shared" si="20"/>
        <v>0</v>
      </c>
      <c r="G130" s="511">
        <f t="shared" si="21"/>
        <v>0</v>
      </c>
      <c r="H130" s="646">
        <f t="shared" si="23"/>
        <v>0</v>
      </c>
      <c r="I130" s="628">
        <f t="shared" si="22"/>
        <v>0</v>
      </c>
      <c r="J130" s="505">
        <f t="shared" si="15"/>
        <v>0</v>
      </c>
      <c r="K130" s="505"/>
      <c r="L130" s="513"/>
      <c r="M130" s="505">
        <f t="shared" si="16"/>
        <v>0</v>
      </c>
      <c r="N130" s="513"/>
      <c r="O130" s="505">
        <f t="shared" si="17"/>
        <v>0</v>
      </c>
      <c r="P130" s="505">
        <f t="shared" si="18"/>
        <v>0</v>
      </c>
    </row>
    <row r="131" spans="2:16" ht="12.5">
      <c r="B131" s="145" t="str">
        <f t="shared" si="14"/>
        <v/>
      </c>
      <c r="C131" s="496">
        <f>IF(D94="","-",+C130+1)</f>
        <v>2048</v>
      </c>
      <c r="D131" s="350">
        <f>IF(F130+SUM(E$100:E130)=D$93,F130,D$93-SUM(E$100:E130))</f>
        <v>0</v>
      </c>
      <c r="E131" s="510">
        <f t="shared" si="19"/>
        <v>0</v>
      </c>
      <c r="F131" s="511">
        <f t="shared" si="20"/>
        <v>0</v>
      </c>
      <c r="G131" s="511">
        <f t="shared" si="21"/>
        <v>0</v>
      </c>
      <c r="H131" s="646">
        <f t="shared" si="23"/>
        <v>0</v>
      </c>
      <c r="I131" s="628">
        <f t="shared" si="22"/>
        <v>0</v>
      </c>
      <c r="J131" s="505">
        <f t="shared" si="15"/>
        <v>0</v>
      </c>
      <c r="K131" s="505"/>
      <c r="L131" s="513"/>
      <c r="M131" s="505">
        <f t="shared" si="16"/>
        <v>0</v>
      </c>
      <c r="N131" s="513"/>
      <c r="O131" s="505">
        <f t="shared" si="17"/>
        <v>0</v>
      </c>
      <c r="P131" s="505">
        <f t="shared" si="18"/>
        <v>0</v>
      </c>
    </row>
    <row r="132" spans="2:16" ht="12.5">
      <c r="B132" s="145" t="str">
        <f t="shared" si="14"/>
        <v/>
      </c>
      <c r="C132" s="496">
        <f>IF(D94="","-",+C131+1)</f>
        <v>2049</v>
      </c>
      <c r="D132" s="350">
        <f>IF(F131+SUM(E$100:E131)=D$93,F131,D$93-SUM(E$100:E131))</f>
        <v>0</v>
      </c>
      <c r="E132" s="510">
        <f t="shared" si="19"/>
        <v>0</v>
      </c>
      <c r="F132" s="511">
        <f t="shared" ref="F132:F155" si="24">+D132-E132</f>
        <v>0</v>
      </c>
      <c r="G132" s="511">
        <f t="shared" ref="G132:G155" si="25">+(F132+D132)/2</f>
        <v>0</v>
      </c>
      <c r="H132" s="646">
        <f t="shared" si="23"/>
        <v>0</v>
      </c>
      <c r="I132" s="628">
        <f t="shared" si="22"/>
        <v>0</v>
      </c>
      <c r="J132" s="505">
        <f t="shared" ref="J132:J155" si="26">+I542-H542</f>
        <v>0</v>
      </c>
      <c r="K132" s="505"/>
      <c r="L132" s="513"/>
      <c r="M132" s="505">
        <f t="shared" ref="M132:M155" si="27">IF(L542&lt;&gt;0,+H542-L542,0)</f>
        <v>0</v>
      </c>
      <c r="N132" s="513"/>
      <c r="O132" s="505">
        <f t="shared" ref="O132:O155" si="28">IF(N542&lt;&gt;0,+I542-N542,0)</f>
        <v>0</v>
      </c>
      <c r="P132" s="505">
        <f t="shared" ref="P132:P155" si="29">+O542-M542</f>
        <v>0</v>
      </c>
    </row>
    <row r="133" spans="2:16" ht="12.5">
      <c r="B133" s="145" t="str">
        <f t="shared" si="14"/>
        <v/>
      </c>
      <c r="C133" s="496">
        <f>IF(D94="","-",+C132+1)</f>
        <v>2050</v>
      </c>
      <c r="D133" s="350">
        <f>IF(F132+SUM(E$100:E132)=D$93,F132,D$93-SUM(E$100:E132))</f>
        <v>0</v>
      </c>
      <c r="E133" s="510">
        <f t="shared" ref="E133:E155" si="30">IF(+J$97&lt;F132,J$97,D133)</f>
        <v>0</v>
      </c>
      <c r="F133" s="511">
        <f t="shared" si="24"/>
        <v>0</v>
      </c>
      <c r="G133" s="511">
        <f t="shared" si="25"/>
        <v>0</v>
      </c>
      <c r="H133" s="646">
        <f t="shared" si="23"/>
        <v>0</v>
      </c>
      <c r="I133" s="628">
        <f t="shared" si="22"/>
        <v>0</v>
      </c>
      <c r="J133" s="505">
        <f t="shared" si="26"/>
        <v>0</v>
      </c>
      <c r="K133" s="505"/>
      <c r="L133" s="513"/>
      <c r="M133" s="505">
        <f t="shared" si="27"/>
        <v>0</v>
      </c>
      <c r="N133" s="513"/>
      <c r="O133" s="505">
        <f t="shared" si="28"/>
        <v>0</v>
      </c>
      <c r="P133" s="505">
        <f t="shared" si="29"/>
        <v>0</v>
      </c>
    </row>
    <row r="134" spans="2:16" ht="12.5">
      <c r="B134" s="145" t="str">
        <f t="shared" si="14"/>
        <v/>
      </c>
      <c r="C134" s="496">
        <f>IF(D94="","-",+C133+1)</f>
        <v>2051</v>
      </c>
      <c r="D134" s="350">
        <f>IF(F133+SUM(E$100:E133)=D$93,F133,D$93-SUM(E$100:E133))</f>
        <v>0</v>
      </c>
      <c r="E134" s="510">
        <f t="shared" si="30"/>
        <v>0</v>
      </c>
      <c r="F134" s="511">
        <f t="shared" si="24"/>
        <v>0</v>
      </c>
      <c r="G134" s="511">
        <f t="shared" si="25"/>
        <v>0</v>
      </c>
      <c r="H134" s="646">
        <f t="shared" si="23"/>
        <v>0</v>
      </c>
      <c r="I134" s="628">
        <f t="shared" si="22"/>
        <v>0</v>
      </c>
      <c r="J134" s="505">
        <f t="shared" si="26"/>
        <v>0</v>
      </c>
      <c r="K134" s="505"/>
      <c r="L134" s="513"/>
      <c r="M134" s="505">
        <f t="shared" si="27"/>
        <v>0</v>
      </c>
      <c r="N134" s="513"/>
      <c r="O134" s="505">
        <f t="shared" si="28"/>
        <v>0</v>
      </c>
      <c r="P134" s="505">
        <f t="shared" si="29"/>
        <v>0</v>
      </c>
    </row>
    <row r="135" spans="2:16" ht="12.5">
      <c r="B135" s="145" t="str">
        <f t="shared" si="14"/>
        <v/>
      </c>
      <c r="C135" s="496">
        <f>IF(D94="","-",+C134+1)</f>
        <v>2052</v>
      </c>
      <c r="D135" s="350">
        <f>IF(F134+SUM(E$100:E134)=D$93,F134,D$93-SUM(E$100:E134))</f>
        <v>0</v>
      </c>
      <c r="E135" s="510">
        <f t="shared" si="30"/>
        <v>0</v>
      </c>
      <c r="F135" s="511">
        <f t="shared" si="24"/>
        <v>0</v>
      </c>
      <c r="G135" s="511">
        <f t="shared" si="25"/>
        <v>0</v>
      </c>
      <c r="H135" s="646">
        <f t="shared" si="23"/>
        <v>0</v>
      </c>
      <c r="I135" s="628">
        <f t="shared" si="22"/>
        <v>0</v>
      </c>
      <c r="J135" s="505">
        <f t="shared" si="26"/>
        <v>0</v>
      </c>
      <c r="K135" s="505"/>
      <c r="L135" s="513"/>
      <c r="M135" s="505">
        <f t="shared" si="27"/>
        <v>0</v>
      </c>
      <c r="N135" s="513"/>
      <c r="O135" s="505">
        <f t="shared" si="28"/>
        <v>0</v>
      </c>
      <c r="P135" s="505">
        <f t="shared" si="29"/>
        <v>0</v>
      </c>
    </row>
    <row r="136" spans="2:16" ht="12.5">
      <c r="B136" s="145" t="str">
        <f t="shared" si="14"/>
        <v/>
      </c>
      <c r="C136" s="496">
        <f>IF(D94="","-",+C135+1)</f>
        <v>2053</v>
      </c>
      <c r="D136" s="350">
        <f>IF(F135+SUM(E$100:E135)=D$93,F135,D$93-SUM(E$100:E135))</f>
        <v>0</v>
      </c>
      <c r="E136" s="510">
        <f t="shared" si="30"/>
        <v>0</v>
      </c>
      <c r="F136" s="511">
        <f t="shared" si="24"/>
        <v>0</v>
      </c>
      <c r="G136" s="511">
        <f t="shared" si="25"/>
        <v>0</v>
      </c>
      <c r="H136" s="646">
        <f t="shared" si="23"/>
        <v>0</v>
      </c>
      <c r="I136" s="628">
        <f t="shared" si="22"/>
        <v>0</v>
      </c>
      <c r="J136" s="505">
        <f t="shared" si="26"/>
        <v>0</v>
      </c>
      <c r="K136" s="505"/>
      <c r="L136" s="513"/>
      <c r="M136" s="505">
        <f t="shared" si="27"/>
        <v>0</v>
      </c>
      <c r="N136" s="513"/>
      <c r="O136" s="505">
        <f t="shared" si="28"/>
        <v>0</v>
      </c>
      <c r="P136" s="505">
        <f t="shared" si="29"/>
        <v>0</v>
      </c>
    </row>
    <row r="137" spans="2:16" ht="12.5">
      <c r="B137" s="145" t="str">
        <f t="shared" si="14"/>
        <v/>
      </c>
      <c r="C137" s="496">
        <f>IF(D94="","-",+C136+1)</f>
        <v>2054</v>
      </c>
      <c r="D137" s="350">
        <f>IF(F136+SUM(E$100:E136)=D$93,F136,D$93-SUM(E$100:E136))</f>
        <v>0</v>
      </c>
      <c r="E137" s="510">
        <f t="shared" si="30"/>
        <v>0</v>
      </c>
      <c r="F137" s="511">
        <f t="shared" si="24"/>
        <v>0</v>
      </c>
      <c r="G137" s="511">
        <f t="shared" si="25"/>
        <v>0</v>
      </c>
      <c r="H137" s="646">
        <f t="shared" si="23"/>
        <v>0</v>
      </c>
      <c r="I137" s="628">
        <f t="shared" si="22"/>
        <v>0</v>
      </c>
      <c r="J137" s="505">
        <f t="shared" si="26"/>
        <v>0</v>
      </c>
      <c r="K137" s="505"/>
      <c r="L137" s="513"/>
      <c r="M137" s="505">
        <f t="shared" si="27"/>
        <v>0</v>
      </c>
      <c r="N137" s="513"/>
      <c r="O137" s="505">
        <f t="shared" si="28"/>
        <v>0</v>
      </c>
      <c r="P137" s="505">
        <f t="shared" si="29"/>
        <v>0</v>
      </c>
    </row>
    <row r="138" spans="2:16" ht="12.5">
      <c r="B138" s="145" t="str">
        <f t="shared" si="14"/>
        <v/>
      </c>
      <c r="C138" s="496">
        <f>IF(D94="","-",+C137+1)</f>
        <v>2055</v>
      </c>
      <c r="D138" s="350">
        <f>IF(F137+SUM(E$100:E137)=D$93,F137,D$93-SUM(E$100:E137))</f>
        <v>0</v>
      </c>
      <c r="E138" s="510">
        <f t="shared" si="30"/>
        <v>0</v>
      </c>
      <c r="F138" s="511">
        <f t="shared" si="24"/>
        <v>0</v>
      </c>
      <c r="G138" s="511">
        <f t="shared" si="25"/>
        <v>0</v>
      </c>
      <c r="H138" s="646">
        <f t="shared" si="23"/>
        <v>0</v>
      </c>
      <c r="I138" s="628">
        <f t="shared" si="22"/>
        <v>0</v>
      </c>
      <c r="J138" s="505">
        <f t="shared" si="26"/>
        <v>0</v>
      </c>
      <c r="K138" s="505"/>
      <c r="L138" s="513"/>
      <c r="M138" s="505">
        <f t="shared" si="27"/>
        <v>0</v>
      </c>
      <c r="N138" s="513"/>
      <c r="O138" s="505">
        <f t="shared" si="28"/>
        <v>0</v>
      </c>
      <c r="P138" s="505">
        <f t="shared" si="29"/>
        <v>0</v>
      </c>
    </row>
    <row r="139" spans="2:16" ht="12.5">
      <c r="B139" s="145" t="str">
        <f t="shared" si="14"/>
        <v/>
      </c>
      <c r="C139" s="496">
        <f>IF(D94="","-",+C138+1)</f>
        <v>2056</v>
      </c>
      <c r="D139" s="350">
        <f>IF(F138+SUM(E$100:E138)=D$93,F138,D$93-SUM(E$100:E138))</f>
        <v>0</v>
      </c>
      <c r="E139" s="510">
        <f t="shared" si="30"/>
        <v>0</v>
      </c>
      <c r="F139" s="511">
        <f t="shared" si="24"/>
        <v>0</v>
      </c>
      <c r="G139" s="511">
        <f t="shared" si="25"/>
        <v>0</v>
      </c>
      <c r="H139" s="646">
        <f t="shared" si="23"/>
        <v>0</v>
      </c>
      <c r="I139" s="628">
        <f t="shared" si="22"/>
        <v>0</v>
      </c>
      <c r="J139" s="505">
        <f t="shared" si="26"/>
        <v>0</v>
      </c>
      <c r="K139" s="505"/>
      <c r="L139" s="513"/>
      <c r="M139" s="505">
        <f t="shared" si="27"/>
        <v>0</v>
      </c>
      <c r="N139" s="513"/>
      <c r="O139" s="505">
        <f t="shared" si="28"/>
        <v>0</v>
      </c>
      <c r="P139" s="505">
        <f t="shared" si="29"/>
        <v>0</v>
      </c>
    </row>
    <row r="140" spans="2:16" ht="12.5">
      <c r="B140" s="145" t="str">
        <f t="shared" si="14"/>
        <v/>
      </c>
      <c r="C140" s="496">
        <f>IF(D94="","-",+C139+1)</f>
        <v>2057</v>
      </c>
      <c r="D140" s="350">
        <f>IF(F139+SUM(E$100:E139)=D$93,F139,D$93-SUM(E$100:E139))</f>
        <v>0</v>
      </c>
      <c r="E140" s="510">
        <f t="shared" si="30"/>
        <v>0</v>
      </c>
      <c r="F140" s="511">
        <f t="shared" si="24"/>
        <v>0</v>
      </c>
      <c r="G140" s="511">
        <f t="shared" si="25"/>
        <v>0</v>
      </c>
      <c r="H140" s="646">
        <f t="shared" si="23"/>
        <v>0</v>
      </c>
      <c r="I140" s="628">
        <f t="shared" si="22"/>
        <v>0</v>
      </c>
      <c r="J140" s="505">
        <f t="shared" si="26"/>
        <v>0</v>
      </c>
      <c r="K140" s="505"/>
      <c r="L140" s="513"/>
      <c r="M140" s="505">
        <f t="shared" si="27"/>
        <v>0</v>
      </c>
      <c r="N140" s="513"/>
      <c r="O140" s="505">
        <f t="shared" si="28"/>
        <v>0</v>
      </c>
      <c r="P140" s="505">
        <f t="shared" si="29"/>
        <v>0</v>
      </c>
    </row>
    <row r="141" spans="2:16" ht="12.5">
      <c r="B141" s="145" t="str">
        <f t="shared" si="14"/>
        <v/>
      </c>
      <c r="C141" s="496">
        <f>IF(D94="","-",+C140+1)</f>
        <v>2058</v>
      </c>
      <c r="D141" s="350">
        <f>IF(F140+SUM(E$100:E140)=D$93,F140,D$93-SUM(E$100:E140))</f>
        <v>0</v>
      </c>
      <c r="E141" s="510">
        <f t="shared" si="30"/>
        <v>0</v>
      </c>
      <c r="F141" s="511">
        <f t="shared" si="24"/>
        <v>0</v>
      </c>
      <c r="G141" s="511">
        <f t="shared" si="25"/>
        <v>0</v>
      </c>
      <c r="H141" s="646">
        <f t="shared" si="23"/>
        <v>0</v>
      </c>
      <c r="I141" s="628">
        <f t="shared" si="22"/>
        <v>0</v>
      </c>
      <c r="J141" s="505">
        <f t="shared" si="26"/>
        <v>0</v>
      </c>
      <c r="K141" s="505"/>
      <c r="L141" s="513"/>
      <c r="M141" s="505">
        <f t="shared" si="27"/>
        <v>0</v>
      </c>
      <c r="N141" s="513"/>
      <c r="O141" s="505">
        <f t="shared" si="28"/>
        <v>0</v>
      </c>
      <c r="P141" s="505">
        <f t="shared" si="29"/>
        <v>0</v>
      </c>
    </row>
    <row r="142" spans="2:16" ht="12.5">
      <c r="B142" s="145" t="str">
        <f t="shared" si="14"/>
        <v/>
      </c>
      <c r="C142" s="496">
        <f>IF(D94="","-",+C141+1)</f>
        <v>2059</v>
      </c>
      <c r="D142" s="350">
        <f>IF(F141+SUM(E$100:E141)=D$93,F141,D$93-SUM(E$100:E141))</f>
        <v>0</v>
      </c>
      <c r="E142" s="510">
        <f t="shared" si="30"/>
        <v>0</v>
      </c>
      <c r="F142" s="511">
        <f t="shared" si="24"/>
        <v>0</v>
      </c>
      <c r="G142" s="511">
        <f t="shared" si="25"/>
        <v>0</v>
      </c>
      <c r="H142" s="646">
        <f t="shared" si="23"/>
        <v>0</v>
      </c>
      <c r="I142" s="628">
        <f t="shared" si="22"/>
        <v>0</v>
      </c>
      <c r="J142" s="505">
        <f t="shared" si="26"/>
        <v>0</v>
      </c>
      <c r="K142" s="505"/>
      <c r="L142" s="513"/>
      <c r="M142" s="505">
        <f t="shared" si="27"/>
        <v>0</v>
      </c>
      <c r="N142" s="513"/>
      <c r="O142" s="505">
        <f t="shared" si="28"/>
        <v>0</v>
      </c>
      <c r="P142" s="505">
        <f t="shared" si="29"/>
        <v>0</v>
      </c>
    </row>
    <row r="143" spans="2:16" ht="12.5">
      <c r="B143" s="145" t="str">
        <f t="shared" si="14"/>
        <v/>
      </c>
      <c r="C143" s="496">
        <f>IF(D94="","-",+C142+1)</f>
        <v>2060</v>
      </c>
      <c r="D143" s="350">
        <f>IF(F142+SUM(E$100:E142)=D$93,F142,D$93-SUM(E$100:E142))</f>
        <v>0</v>
      </c>
      <c r="E143" s="510">
        <f t="shared" si="30"/>
        <v>0</v>
      </c>
      <c r="F143" s="511">
        <f t="shared" si="24"/>
        <v>0</v>
      </c>
      <c r="G143" s="511">
        <f t="shared" si="25"/>
        <v>0</v>
      </c>
      <c r="H143" s="646">
        <f t="shared" si="23"/>
        <v>0</v>
      </c>
      <c r="I143" s="628">
        <f t="shared" si="22"/>
        <v>0</v>
      </c>
      <c r="J143" s="505">
        <f t="shared" si="26"/>
        <v>0</v>
      </c>
      <c r="K143" s="505"/>
      <c r="L143" s="513"/>
      <c r="M143" s="505">
        <f t="shared" si="27"/>
        <v>0</v>
      </c>
      <c r="N143" s="513"/>
      <c r="O143" s="505">
        <f t="shared" si="28"/>
        <v>0</v>
      </c>
      <c r="P143" s="505">
        <f t="shared" si="29"/>
        <v>0</v>
      </c>
    </row>
    <row r="144" spans="2:16" ht="12.5">
      <c r="B144" s="145" t="str">
        <f t="shared" si="14"/>
        <v/>
      </c>
      <c r="C144" s="496">
        <f>IF(D94="","-",+C143+1)</f>
        <v>2061</v>
      </c>
      <c r="D144" s="350">
        <f>IF(F143+SUM(E$100:E143)=D$93,F143,D$93-SUM(E$100:E143))</f>
        <v>0</v>
      </c>
      <c r="E144" s="510">
        <f t="shared" si="30"/>
        <v>0</v>
      </c>
      <c r="F144" s="511">
        <f t="shared" si="24"/>
        <v>0</v>
      </c>
      <c r="G144" s="511">
        <f t="shared" si="25"/>
        <v>0</v>
      </c>
      <c r="H144" s="646">
        <f t="shared" si="23"/>
        <v>0</v>
      </c>
      <c r="I144" s="628">
        <f t="shared" si="22"/>
        <v>0</v>
      </c>
      <c r="J144" s="505">
        <f t="shared" si="26"/>
        <v>0</v>
      </c>
      <c r="K144" s="505"/>
      <c r="L144" s="513"/>
      <c r="M144" s="505">
        <f t="shared" si="27"/>
        <v>0</v>
      </c>
      <c r="N144" s="513"/>
      <c r="O144" s="505">
        <f t="shared" si="28"/>
        <v>0</v>
      </c>
      <c r="P144" s="505">
        <f t="shared" si="29"/>
        <v>0</v>
      </c>
    </row>
    <row r="145" spans="2:16" ht="12.5">
      <c r="B145" s="145" t="str">
        <f t="shared" si="14"/>
        <v/>
      </c>
      <c r="C145" s="496">
        <f>IF(D94="","-",+C144+1)</f>
        <v>2062</v>
      </c>
      <c r="D145" s="350">
        <f>IF(F144+SUM(E$100:E144)=D$93,F144,D$93-SUM(E$100:E144))</f>
        <v>0</v>
      </c>
      <c r="E145" s="510">
        <f t="shared" si="30"/>
        <v>0</v>
      </c>
      <c r="F145" s="511">
        <f t="shared" si="24"/>
        <v>0</v>
      </c>
      <c r="G145" s="511">
        <f t="shared" si="25"/>
        <v>0</v>
      </c>
      <c r="H145" s="646">
        <f t="shared" si="23"/>
        <v>0</v>
      </c>
      <c r="I145" s="628">
        <f t="shared" si="22"/>
        <v>0</v>
      </c>
      <c r="J145" s="505">
        <f t="shared" si="26"/>
        <v>0</v>
      </c>
      <c r="K145" s="505"/>
      <c r="L145" s="513"/>
      <c r="M145" s="505">
        <f t="shared" si="27"/>
        <v>0</v>
      </c>
      <c r="N145" s="513"/>
      <c r="O145" s="505">
        <f t="shared" si="28"/>
        <v>0</v>
      </c>
      <c r="P145" s="505">
        <f t="shared" si="29"/>
        <v>0</v>
      </c>
    </row>
    <row r="146" spans="2:16" ht="12.5">
      <c r="B146" s="145" t="str">
        <f t="shared" si="14"/>
        <v/>
      </c>
      <c r="C146" s="496">
        <f>IF(D94="","-",+C145+1)</f>
        <v>2063</v>
      </c>
      <c r="D146" s="350">
        <f>IF(F145+SUM(E$100:E145)=D$93,F145,D$93-SUM(E$100:E145))</f>
        <v>0</v>
      </c>
      <c r="E146" s="510">
        <f t="shared" si="30"/>
        <v>0</v>
      </c>
      <c r="F146" s="511">
        <f t="shared" si="24"/>
        <v>0</v>
      </c>
      <c r="G146" s="511">
        <f t="shared" si="25"/>
        <v>0</v>
      </c>
      <c r="H146" s="646">
        <f t="shared" si="23"/>
        <v>0</v>
      </c>
      <c r="I146" s="628">
        <f t="shared" si="22"/>
        <v>0</v>
      </c>
      <c r="J146" s="505">
        <f t="shared" si="26"/>
        <v>0</v>
      </c>
      <c r="K146" s="505"/>
      <c r="L146" s="513"/>
      <c r="M146" s="505">
        <f t="shared" si="27"/>
        <v>0</v>
      </c>
      <c r="N146" s="513"/>
      <c r="O146" s="505">
        <f t="shared" si="28"/>
        <v>0</v>
      </c>
      <c r="P146" s="505">
        <f t="shared" si="29"/>
        <v>0</v>
      </c>
    </row>
    <row r="147" spans="2:16" ht="12.5">
      <c r="B147" s="145" t="str">
        <f t="shared" si="14"/>
        <v/>
      </c>
      <c r="C147" s="496">
        <f>IF(D94="","-",+C146+1)</f>
        <v>2064</v>
      </c>
      <c r="D147" s="350">
        <f>IF(F146+SUM(E$100:E146)=D$93,F146,D$93-SUM(E$100:E146))</f>
        <v>0</v>
      </c>
      <c r="E147" s="510">
        <f t="shared" si="30"/>
        <v>0</v>
      </c>
      <c r="F147" s="511">
        <f t="shared" si="24"/>
        <v>0</v>
      </c>
      <c r="G147" s="511">
        <f t="shared" si="25"/>
        <v>0</v>
      </c>
      <c r="H147" s="646">
        <f t="shared" si="23"/>
        <v>0</v>
      </c>
      <c r="I147" s="628">
        <f t="shared" si="22"/>
        <v>0</v>
      </c>
      <c r="J147" s="505">
        <f t="shared" si="26"/>
        <v>0</v>
      </c>
      <c r="K147" s="505"/>
      <c r="L147" s="513"/>
      <c r="M147" s="505">
        <f t="shared" si="27"/>
        <v>0</v>
      </c>
      <c r="N147" s="513"/>
      <c r="O147" s="505">
        <f t="shared" si="28"/>
        <v>0</v>
      </c>
      <c r="P147" s="505">
        <f t="shared" si="29"/>
        <v>0</v>
      </c>
    </row>
    <row r="148" spans="2:16" ht="12.5">
      <c r="B148" s="145" t="str">
        <f t="shared" si="14"/>
        <v/>
      </c>
      <c r="C148" s="496">
        <f>IF(D94="","-",+C147+1)</f>
        <v>2065</v>
      </c>
      <c r="D148" s="350">
        <f>IF(F147+SUM(E$100:E147)=D$93,F147,D$93-SUM(E$100:E147))</f>
        <v>0</v>
      </c>
      <c r="E148" s="510">
        <f t="shared" si="30"/>
        <v>0</v>
      </c>
      <c r="F148" s="511">
        <f t="shared" si="24"/>
        <v>0</v>
      </c>
      <c r="G148" s="511">
        <f t="shared" si="25"/>
        <v>0</v>
      </c>
      <c r="H148" s="646">
        <f t="shared" si="23"/>
        <v>0</v>
      </c>
      <c r="I148" s="628">
        <f t="shared" si="22"/>
        <v>0</v>
      </c>
      <c r="J148" s="505">
        <f t="shared" si="26"/>
        <v>0</v>
      </c>
      <c r="K148" s="505"/>
      <c r="L148" s="513"/>
      <c r="M148" s="505">
        <f t="shared" si="27"/>
        <v>0</v>
      </c>
      <c r="N148" s="513"/>
      <c r="O148" s="505">
        <f t="shared" si="28"/>
        <v>0</v>
      </c>
      <c r="P148" s="505">
        <f t="shared" si="29"/>
        <v>0</v>
      </c>
    </row>
    <row r="149" spans="2:16" ht="12.5">
      <c r="B149" s="145" t="str">
        <f t="shared" si="14"/>
        <v/>
      </c>
      <c r="C149" s="496">
        <f>IF(D94="","-",+C148+1)</f>
        <v>2066</v>
      </c>
      <c r="D149" s="350">
        <f>IF(F148+SUM(E$100:E148)=D$93,F148,D$93-SUM(E$100:E148))</f>
        <v>0</v>
      </c>
      <c r="E149" s="510">
        <f t="shared" si="30"/>
        <v>0</v>
      </c>
      <c r="F149" s="511">
        <f t="shared" si="24"/>
        <v>0</v>
      </c>
      <c r="G149" s="511">
        <f t="shared" si="25"/>
        <v>0</v>
      </c>
      <c r="H149" s="646">
        <f t="shared" si="23"/>
        <v>0</v>
      </c>
      <c r="I149" s="628">
        <f t="shared" si="22"/>
        <v>0</v>
      </c>
      <c r="J149" s="505">
        <f t="shared" si="26"/>
        <v>0</v>
      </c>
      <c r="K149" s="505"/>
      <c r="L149" s="513"/>
      <c r="M149" s="505">
        <f t="shared" si="27"/>
        <v>0</v>
      </c>
      <c r="N149" s="513"/>
      <c r="O149" s="505">
        <f t="shared" si="28"/>
        <v>0</v>
      </c>
      <c r="P149" s="505">
        <f t="shared" si="29"/>
        <v>0</v>
      </c>
    </row>
    <row r="150" spans="2:16" ht="12.5">
      <c r="B150" s="145" t="str">
        <f t="shared" si="14"/>
        <v/>
      </c>
      <c r="C150" s="496">
        <f>IF(D94="","-",+C149+1)</f>
        <v>2067</v>
      </c>
      <c r="D150" s="350">
        <f>IF(F149+SUM(E$100:E149)=D$93,F149,D$93-SUM(E$100:E149))</f>
        <v>0</v>
      </c>
      <c r="E150" s="510">
        <f t="shared" si="30"/>
        <v>0</v>
      </c>
      <c r="F150" s="511">
        <f t="shared" si="24"/>
        <v>0</v>
      </c>
      <c r="G150" s="511">
        <f t="shared" si="25"/>
        <v>0</v>
      </c>
      <c r="H150" s="646">
        <f t="shared" si="23"/>
        <v>0</v>
      </c>
      <c r="I150" s="628">
        <f t="shared" si="22"/>
        <v>0</v>
      </c>
      <c r="J150" s="505">
        <f t="shared" si="26"/>
        <v>0</v>
      </c>
      <c r="K150" s="505"/>
      <c r="L150" s="513"/>
      <c r="M150" s="505">
        <f t="shared" si="27"/>
        <v>0</v>
      </c>
      <c r="N150" s="513"/>
      <c r="O150" s="505">
        <f t="shared" si="28"/>
        <v>0</v>
      </c>
      <c r="P150" s="505">
        <f t="shared" si="29"/>
        <v>0</v>
      </c>
    </row>
    <row r="151" spans="2:16" ht="12.5">
      <c r="B151" s="145" t="str">
        <f t="shared" si="14"/>
        <v/>
      </c>
      <c r="C151" s="496">
        <f>IF(D94="","-",+C150+1)</f>
        <v>2068</v>
      </c>
      <c r="D151" s="350">
        <f>IF(F150+SUM(E$100:E150)=D$93,F150,D$93-SUM(E$100:E150))</f>
        <v>0</v>
      </c>
      <c r="E151" s="510">
        <f t="shared" si="30"/>
        <v>0</v>
      </c>
      <c r="F151" s="511">
        <f t="shared" si="24"/>
        <v>0</v>
      </c>
      <c r="G151" s="511">
        <f t="shared" si="25"/>
        <v>0</v>
      </c>
      <c r="H151" s="646">
        <f t="shared" si="23"/>
        <v>0</v>
      </c>
      <c r="I151" s="628">
        <f t="shared" si="22"/>
        <v>0</v>
      </c>
      <c r="J151" s="505">
        <f t="shared" si="26"/>
        <v>0</v>
      </c>
      <c r="K151" s="505"/>
      <c r="L151" s="513"/>
      <c r="M151" s="505">
        <f t="shared" si="27"/>
        <v>0</v>
      </c>
      <c r="N151" s="513"/>
      <c r="O151" s="505">
        <f t="shared" si="28"/>
        <v>0</v>
      </c>
      <c r="P151" s="505">
        <f t="shared" si="29"/>
        <v>0</v>
      </c>
    </row>
    <row r="152" spans="2:16" ht="12.5">
      <c r="B152" s="145" t="str">
        <f t="shared" si="14"/>
        <v/>
      </c>
      <c r="C152" s="496">
        <f>IF(D94="","-",+C151+1)</f>
        <v>2069</v>
      </c>
      <c r="D152" s="350">
        <f>IF(F151+SUM(E$100:E151)=D$93,F151,D$93-SUM(E$100:E151))</f>
        <v>0</v>
      </c>
      <c r="E152" s="510">
        <f t="shared" si="30"/>
        <v>0</v>
      </c>
      <c r="F152" s="511">
        <f t="shared" si="24"/>
        <v>0</v>
      </c>
      <c r="G152" s="511">
        <f t="shared" si="25"/>
        <v>0</v>
      </c>
      <c r="H152" s="646">
        <f t="shared" si="23"/>
        <v>0</v>
      </c>
      <c r="I152" s="628">
        <f t="shared" si="22"/>
        <v>0</v>
      </c>
      <c r="J152" s="505">
        <f t="shared" si="26"/>
        <v>0</v>
      </c>
      <c r="K152" s="505"/>
      <c r="L152" s="513"/>
      <c r="M152" s="505">
        <f t="shared" si="27"/>
        <v>0</v>
      </c>
      <c r="N152" s="513"/>
      <c r="O152" s="505">
        <f t="shared" si="28"/>
        <v>0</v>
      </c>
      <c r="P152" s="505">
        <f t="shared" si="29"/>
        <v>0</v>
      </c>
    </row>
    <row r="153" spans="2:16" ht="12.5">
      <c r="B153" s="145" t="str">
        <f t="shared" si="14"/>
        <v/>
      </c>
      <c r="C153" s="496">
        <f>IF(D94="","-",+C152+1)</f>
        <v>2070</v>
      </c>
      <c r="D153" s="350">
        <f>IF(F152+SUM(E$100:E152)=D$93,F152,D$93-SUM(E$100:E152))</f>
        <v>0</v>
      </c>
      <c r="E153" s="510">
        <f t="shared" si="30"/>
        <v>0</v>
      </c>
      <c r="F153" s="511">
        <f t="shared" si="24"/>
        <v>0</v>
      </c>
      <c r="G153" s="511">
        <f t="shared" si="25"/>
        <v>0</v>
      </c>
      <c r="H153" s="646">
        <f t="shared" si="23"/>
        <v>0</v>
      </c>
      <c r="I153" s="628">
        <f t="shared" si="22"/>
        <v>0</v>
      </c>
      <c r="J153" s="505">
        <f t="shared" si="26"/>
        <v>0</v>
      </c>
      <c r="K153" s="505"/>
      <c r="L153" s="513"/>
      <c r="M153" s="505">
        <f t="shared" si="27"/>
        <v>0</v>
      </c>
      <c r="N153" s="513"/>
      <c r="O153" s="505">
        <f t="shared" si="28"/>
        <v>0</v>
      </c>
      <c r="P153" s="505">
        <f t="shared" si="29"/>
        <v>0</v>
      </c>
    </row>
    <row r="154" spans="2:16" ht="12.5">
      <c r="B154" s="145" t="str">
        <f t="shared" si="14"/>
        <v/>
      </c>
      <c r="C154" s="496">
        <f>IF(D94="","-",+C153+1)</f>
        <v>2071</v>
      </c>
      <c r="D154" s="350">
        <f>IF(F153+SUM(E$100:E153)=D$93,F153,D$93-SUM(E$100:E153))</f>
        <v>0</v>
      </c>
      <c r="E154" s="510">
        <f t="shared" si="30"/>
        <v>0</v>
      </c>
      <c r="F154" s="511">
        <f t="shared" si="24"/>
        <v>0</v>
      </c>
      <c r="G154" s="511">
        <f t="shared" si="25"/>
        <v>0</v>
      </c>
      <c r="H154" s="646">
        <f t="shared" si="23"/>
        <v>0</v>
      </c>
      <c r="I154" s="628">
        <f t="shared" si="22"/>
        <v>0</v>
      </c>
      <c r="J154" s="505">
        <f t="shared" si="26"/>
        <v>0</v>
      </c>
      <c r="K154" s="505"/>
      <c r="L154" s="513"/>
      <c r="M154" s="505">
        <f t="shared" si="27"/>
        <v>0</v>
      </c>
      <c r="N154" s="513"/>
      <c r="O154" s="505">
        <f t="shared" si="28"/>
        <v>0</v>
      </c>
      <c r="P154" s="505">
        <f t="shared" si="29"/>
        <v>0</v>
      </c>
    </row>
    <row r="155" spans="2:16" ht="13" thickBot="1">
      <c r="B155" s="145" t="str">
        <f t="shared" si="14"/>
        <v/>
      </c>
      <c r="C155" s="525">
        <f>IF(D94="","-",+C154+1)</f>
        <v>2072</v>
      </c>
      <c r="D155" s="636">
        <f>IF(F154+SUM(E$100:E154)=D$93,F154,D$93-SUM(E$100:E154))</f>
        <v>0</v>
      </c>
      <c r="E155" s="527">
        <f t="shared" si="30"/>
        <v>0</v>
      </c>
      <c r="F155" s="528">
        <f t="shared" si="24"/>
        <v>0</v>
      </c>
      <c r="G155" s="528">
        <f t="shared" si="25"/>
        <v>0</v>
      </c>
      <c r="H155" s="646">
        <f t="shared" si="23"/>
        <v>0</v>
      </c>
      <c r="I155" s="624">
        <f t="shared" si="22"/>
        <v>0</v>
      </c>
      <c r="J155" s="532">
        <f t="shared" si="26"/>
        <v>0</v>
      </c>
      <c r="K155" s="505"/>
      <c r="L155" s="531"/>
      <c r="M155" s="532">
        <f t="shared" si="27"/>
        <v>0</v>
      </c>
      <c r="N155" s="531"/>
      <c r="O155" s="532">
        <f t="shared" si="28"/>
        <v>0</v>
      </c>
      <c r="P155" s="532">
        <f t="shared" si="29"/>
        <v>0</v>
      </c>
    </row>
    <row r="156" spans="2:16" ht="12.5">
      <c r="C156" s="350" t="s">
        <v>75</v>
      </c>
      <c r="D156" s="295"/>
      <c r="E156" s="295">
        <f>SUM(E100:E155)</f>
        <v>87672233.000000015</v>
      </c>
      <c r="F156" s="295"/>
      <c r="G156" s="295"/>
      <c r="H156" s="295">
        <f>SUM(H100:H155)</f>
        <v>227348831.85297495</v>
      </c>
      <c r="I156" s="295">
        <f>SUM(I100:I155)</f>
        <v>227348831.85297495</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abSelected="1" topLeftCell="A85" zoomScale="85" zoomScaleNormal="85"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18 of 20</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2056569.1179354885</v>
      </c>
      <c r="P5" s="244"/>
    </row>
    <row r="6" spans="1:16" ht="15.5">
      <c r="C6" s="236"/>
      <c r="D6" s="293"/>
      <c r="E6" s="244"/>
      <c r="F6" s="244"/>
      <c r="G6" s="244"/>
      <c r="H6" s="450"/>
      <c r="I6" s="450"/>
      <c r="J6" s="451"/>
      <c r="K6" s="452" t="s">
        <v>243</v>
      </c>
      <c r="L6" s="453"/>
      <c r="M6" s="279"/>
      <c r="N6" s="454">
        <f>VLOOKUP(I10,C17:I73,6)</f>
        <v>2056569.1179354885</v>
      </c>
      <c r="O6" s="244"/>
      <c r="P6" s="244"/>
    </row>
    <row r="7" spans="1:16" ht="13.5" thickBot="1">
      <c r="C7" s="455" t="s">
        <v>46</v>
      </c>
      <c r="D7" s="635" t="s">
        <v>270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463"/>
      <c r="K8" s="462"/>
      <c r="L8" s="462"/>
      <c r="M8" s="462"/>
      <c r="N8" s="462"/>
      <c r="O8" s="463"/>
      <c r="P8" s="249"/>
    </row>
    <row r="9" spans="1:16" ht="13.5" thickBot="1">
      <c r="C9" s="464" t="s">
        <v>48</v>
      </c>
      <c r="D9" s="465" t="s">
        <v>269</v>
      </c>
      <c r="E9" s="466"/>
      <c r="F9" s="466"/>
      <c r="G9" s="466"/>
      <c r="H9" s="466"/>
      <c r="I9" s="467"/>
      <c r="J9" s="468"/>
      <c r="O9" s="469"/>
      <c r="P9" s="279"/>
    </row>
    <row r="10" spans="1:16" ht="13">
      <c r="C10" s="470" t="s">
        <v>49</v>
      </c>
      <c r="D10" s="471">
        <v>17092177</v>
      </c>
      <c r="E10" s="300" t="s">
        <v>50</v>
      </c>
      <c r="F10" s="469"/>
      <c r="G10" s="409"/>
      <c r="H10" s="409"/>
      <c r="I10" s="472">
        <f>+OKT.WS.F.BPU.ATRR.Projected!R100</f>
        <v>2020</v>
      </c>
      <c r="J10" s="468"/>
      <c r="K10" s="295" t="s">
        <v>51</v>
      </c>
      <c r="O10" s="279"/>
      <c r="P10" s="279"/>
    </row>
    <row r="11" spans="1:16" ht="12.5">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12</v>
      </c>
      <c r="E12" s="473" t="s">
        <v>55</v>
      </c>
      <c r="F12" s="409"/>
      <c r="G12" s="221"/>
      <c r="H12" s="221"/>
      <c r="I12" s="477">
        <f>OKT.WS.F.BPU.ATRR.Projected!$F$78</f>
        <v>0.1064171487591708</v>
      </c>
      <c r="J12" s="414"/>
      <c r="K12" s="145" t="s">
        <v>56</v>
      </c>
      <c r="O12" s="279"/>
      <c r="P12" s="279"/>
    </row>
    <row r="13" spans="1:16"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 thickBot="1">
      <c r="C14" s="473" t="s">
        <v>60</v>
      </c>
      <c r="D14" s="474" t="s">
        <v>61</v>
      </c>
      <c r="E14" s="279" t="s">
        <v>62</v>
      </c>
      <c r="F14" s="409"/>
      <c r="G14" s="221"/>
      <c r="H14" s="221"/>
      <c r="I14" s="478">
        <f>IF(D10=0,0,D10/D13)</f>
        <v>502711.0882352941</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2018</v>
      </c>
      <c r="D17" s="639">
        <v>8422478.0275623277</v>
      </c>
      <c r="E17" s="640">
        <v>210700.54229669485</v>
      </c>
      <c r="F17" s="641">
        <v>8211777.4852656331</v>
      </c>
      <c r="G17" s="640">
        <v>1187888.4238656519</v>
      </c>
      <c r="H17" s="642">
        <v>1187888.4238656519</v>
      </c>
      <c r="I17" s="501">
        <f t="shared" ref="I17:I71" si="1">H17-G17</f>
        <v>0</v>
      </c>
      <c r="J17" s="501"/>
      <c r="K17" s="502">
        <f>+G17</f>
        <v>1187888.4238656519</v>
      </c>
      <c r="L17" s="504">
        <f t="shared" ref="L17:L71" si="2">IF(K17&lt;&gt;0,+G17-K17,0)</f>
        <v>0</v>
      </c>
      <c r="M17" s="502">
        <f>+H17</f>
        <v>1187888.4238656519</v>
      </c>
      <c r="N17" s="504">
        <f t="shared" ref="N17:N71" si="3">IF(M17&lt;&gt;0,+H17-M17,0)</f>
        <v>0</v>
      </c>
      <c r="O17" s="505">
        <f t="shared" ref="O17:O71" si="4">+N17-L17</f>
        <v>0</v>
      </c>
      <c r="P17" s="279"/>
    </row>
    <row r="18" spans="2:16" ht="12.5">
      <c r="B18" s="145" t="str">
        <f t="shared" si="0"/>
        <v/>
      </c>
      <c r="C18" s="496">
        <f>IF(D11="","-",+C17+1)</f>
        <v>2019</v>
      </c>
      <c r="D18" s="647">
        <v>8211777.4852656331</v>
      </c>
      <c r="E18" s="648">
        <v>210700.54229669485</v>
      </c>
      <c r="F18" s="647">
        <v>8001076.9429689385</v>
      </c>
      <c r="G18" s="648">
        <v>1163133.0007673886</v>
      </c>
      <c r="H18" s="649">
        <v>1163133.0007673886</v>
      </c>
      <c r="I18" s="501">
        <f t="shared" si="1"/>
        <v>0</v>
      </c>
      <c r="J18" s="501"/>
      <c r="K18" s="593">
        <f>+G18</f>
        <v>1163133.0007673886</v>
      </c>
      <c r="L18" s="597">
        <f t="shared" si="2"/>
        <v>0</v>
      </c>
      <c r="M18" s="593">
        <f>+H18</f>
        <v>1163133.0007673886</v>
      </c>
      <c r="N18" s="505">
        <f t="shared" si="3"/>
        <v>0</v>
      </c>
      <c r="O18" s="505">
        <f t="shared" si="4"/>
        <v>0</v>
      </c>
      <c r="P18" s="279"/>
    </row>
    <row r="19" spans="2:16" ht="12.5">
      <c r="B19" s="145" t="str">
        <f t="shared" si="0"/>
        <v>IU</v>
      </c>
      <c r="C19" s="496">
        <f>IF(D11="","-",+C18+1)</f>
        <v>2020</v>
      </c>
      <c r="D19" s="647">
        <v>15412336.915406611</v>
      </c>
      <c r="E19" s="648">
        <v>463640.04013383167</v>
      </c>
      <c r="F19" s="647">
        <v>14948696.875272779</v>
      </c>
      <c r="G19" s="648">
        <v>2056569.1179354885</v>
      </c>
      <c r="H19" s="649">
        <v>2056569.1179354885</v>
      </c>
      <c r="I19" s="501">
        <f t="shared" si="1"/>
        <v>0</v>
      </c>
      <c r="J19" s="501"/>
      <c r="K19" s="593">
        <f>+G19</f>
        <v>2056569.1179354885</v>
      </c>
      <c r="L19" s="597">
        <f t="shared" ref="L19" si="5">IF(K19&lt;&gt;0,+G19-K19,0)</f>
        <v>0</v>
      </c>
      <c r="M19" s="593">
        <f>+H19</f>
        <v>2056569.1179354885</v>
      </c>
      <c r="N19" s="505">
        <f t="shared" si="3"/>
        <v>0</v>
      </c>
      <c r="O19" s="505">
        <f t="shared" si="4"/>
        <v>0</v>
      </c>
      <c r="P19" s="279"/>
    </row>
    <row r="20" spans="2:16" ht="12.5">
      <c r="B20" s="145" t="str">
        <f t="shared" si="0"/>
        <v>IU</v>
      </c>
      <c r="C20" s="496">
        <f>IF(D11="","-",+C19+1)</f>
        <v>2021</v>
      </c>
      <c r="D20" s="509">
        <f>IF(F19+SUM(E$17:E19)=D$10,F19,D$10-SUM(E$17:E19))</f>
        <v>16207135.875272779</v>
      </c>
      <c r="E20" s="510">
        <f t="shared" ref="E20:E71" si="6">IF(+I$14&lt;F19,I$14,D20)</f>
        <v>502711.0882352941</v>
      </c>
      <c r="F20" s="511">
        <f t="shared" ref="F20:F71" si="7">+D20-E20</f>
        <v>15704424.787037484</v>
      </c>
      <c r="G20" s="512">
        <f t="shared" ref="G20:G71" si="8">(D20+F20)/2*I$12+E20</f>
        <v>2200679.7373044812</v>
      </c>
      <c r="H20" s="478">
        <f t="shared" ref="H20:H71" si="9">+(D20+F20)/2*I$13+E20</f>
        <v>2200679.7373044812</v>
      </c>
      <c r="I20" s="501">
        <f t="shared" si="1"/>
        <v>0</v>
      </c>
      <c r="J20" s="501"/>
      <c r="K20" s="513"/>
      <c r="L20" s="505">
        <f t="shared" si="2"/>
        <v>0</v>
      </c>
      <c r="M20" s="513"/>
      <c r="N20" s="505">
        <f t="shared" si="3"/>
        <v>0</v>
      </c>
      <c r="O20" s="505">
        <f t="shared" si="4"/>
        <v>0</v>
      </c>
      <c r="P20" s="279"/>
    </row>
    <row r="21" spans="2:16" ht="12.5">
      <c r="B21" s="145" t="str">
        <f t="shared" si="0"/>
        <v/>
      </c>
      <c r="C21" s="496">
        <f>IF(D11="","-",+C20+1)</f>
        <v>2022</v>
      </c>
      <c r="D21" s="509">
        <f>IF(F20+SUM(E$17:E20)=D$10,F20,D$10-SUM(E$17:E20))</f>
        <v>15704424.787037484</v>
      </c>
      <c r="E21" s="510">
        <f t="shared" si="6"/>
        <v>502711.0882352941</v>
      </c>
      <c r="F21" s="511">
        <f t="shared" si="7"/>
        <v>15201713.69880219</v>
      </c>
      <c r="G21" s="512">
        <f t="shared" si="8"/>
        <v>2147182.6566448612</v>
      </c>
      <c r="H21" s="478">
        <f t="shared" si="9"/>
        <v>2147182.6566448612</v>
      </c>
      <c r="I21" s="501">
        <f t="shared" si="1"/>
        <v>0</v>
      </c>
      <c r="J21" s="501"/>
      <c r="K21" s="513"/>
      <c r="L21" s="505">
        <f t="shared" si="2"/>
        <v>0</v>
      </c>
      <c r="M21" s="513"/>
      <c r="N21" s="505">
        <f t="shared" si="3"/>
        <v>0</v>
      </c>
      <c r="O21" s="505">
        <f t="shared" si="4"/>
        <v>0</v>
      </c>
      <c r="P21" s="279"/>
    </row>
    <row r="22" spans="2:16" ht="12.5">
      <c r="B22" s="145" t="str">
        <f t="shared" si="0"/>
        <v/>
      </c>
      <c r="C22" s="496">
        <f>IF(D11="","-",+C21+1)</f>
        <v>2023</v>
      </c>
      <c r="D22" s="509">
        <f>IF(F21+SUM(E$17:E21)=D$10,F21,D$10-SUM(E$17:E21))</f>
        <v>15201713.69880219</v>
      </c>
      <c r="E22" s="510">
        <f t="shared" si="6"/>
        <v>502711.0882352941</v>
      </c>
      <c r="F22" s="511">
        <f t="shared" si="7"/>
        <v>14699002.610566895</v>
      </c>
      <c r="G22" s="512">
        <f t="shared" si="8"/>
        <v>2093685.5759852412</v>
      </c>
      <c r="H22" s="478">
        <f t="shared" si="9"/>
        <v>2093685.5759852412</v>
      </c>
      <c r="I22" s="501">
        <f t="shared" si="1"/>
        <v>0</v>
      </c>
      <c r="J22" s="501"/>
      <c r="K22" s="513"/>
      <c r="L22" s="505">
        <f t="shared" si="2"/>
        <v>0</v>
      </c>
      <c r="M22" s="513"/>
      <c r="N22" s="505">
        <f t="shared" si="3"/>
        <v>0</v>
      </c>
      <c r="O22" s="505">
        <f t="shared" si="4"/>
        <v>0</v>
      </c>
      <c r="P22" s="279"/>
    </row>
    <row r="23" spans="2:16" ht="12.5">
      <c r="B23" s="145" t="str">
        <f t="shared" si="0"/>
        <v/>
      </c>
      <c r="C23" s="496">
        <f>IF(D11="","-",+C22+1)</f>
        <v>2024</v>
      </c>
      <c r="D23" s="509">
        <f>IF(F22+SUM(E$17:E22)=D$10,F22,D$10-SUM(E$17:E22))</f>
        <v>14699002.610566895</v>
      </c>
      <c r="E23" s="510">
        <f t="shared" si="6"/>
        <v>502711.0882352941</v>
      </c>
      <c r="F23" s="511">
        <f t="shared" si="7"/>
        <v>14196291.522331601</v>
      </c>
      <c r="G23" s="512">
        <f t="shared" si="8"/>
        <v>2040188.4953256212</v>
      </c>
      <c r="H23" s="478">
        <f t="shared" si="9"/>
        <v>2040188.4953256212</v>
      </c>
      <c r="I23" s="501">
        <f t="shared" si="1"/>
        <v>0</v>
      </c>
      <c r="J23" s="501"/>
      <c r="K23" s="513"/>
      <c r="L23" s="505">
        <f t="shared" si="2"/>
        <v>0</v>
      </c>
      <c r="M23" s="513"/>
      <c r="N23" s="505">
        <f t="shared" si="3"/>
        <v>0</v>
      </c>
      <c r="O23" s="505">
        <f t="shared" si="4"/>
        <v>0</v>
      </c>
      <c r="P23" s="279"/>
    </row>
    <row r="24" spans="2:16" ht="12.5">
      <c r="B24" s="145" t="str">
        <f t="shared" si="0"/>
        <v/>
      </c>
      <c r="C24" s="496">
        <f>IF(D11="","-",+C23+1)</f>
        <v>2025</v>
      </c>
      <c r="D24" s="509">
        <f>IF(F23+SUM(E$17:E23)=D$10,F23,D$10-SUM(E$17:E23))</f>
        <v>14196291.522331601</v>
      </c>
      <c r="E24" s="510">
        <f t="shared" si="6"/>
        <v>502711.0882352941</v>
      </c>
      <c r="F24" s="511">
        <f t="shared" si="7"/>
        <v>13693580.434096307</v>
      </c>
      <c r="G24" s="512">
        <f t="shared" si="8"/>
        <v>1986691.4146660017</v>
      </c>
      <c r="H24" s="478">
        <f t="shared" si="9"/>
        <v>1986691.4146660017</v>
      </c>
      <c r="I24" s="501">
        <f t="shared" si="1"/>
        <v>0</v>
      </c>
      <c r="J24" s="501"/>
      <c r="K24" s="513"/>
      <c r="L24" s="505">
        <f t="shared" si="2"/>
        <v>0</v>
      </c>
      <c r="M24" s="513"/>
      <c r="N24" s="505">
        <f t="shared" si="3"/>
        <v>0</v>
      </c>
      <c r="O24" s="505">
        <f t="shared" si="4"/>
        <v>0</v>
      </c>
      <c r="P24" s="279"/>
    </row>
    <row r="25" spans="2:16" ht="12.5">
      <c r="B25" s="145" t="str">
        <f t="shared" si="0"/>
        <v/>
      </c>
      <c r="C25" s="496">
        <f>IF(D11="","-",+C24+1)</f>
        <v>2026</v>
      </c>
      <c r="D25" s="509">
        <f>IF(F24+SUM(E$17:E24)=D$10,F24,D$10-SUM(E$17:E24))</f>
        <v>13693580.434096307</v>
      </c>
      <c r="E25" s="510">
        <f t="shared" si="6"/>
        <v>502711.0882352941</v>
      </c>
      <c r="F25" s="511">
        <f t="shared" si="7"/>
        <v>13190869.345861012</v>
      </c>
      <c r="G25" s="512">
        <f t="shared" si="8"/>
        <v>1933194.3340063812</v>
      </c>
      <c r="H25" s="478">
        <f t="shared" si="9"/>
        <v>1933194.3340063812</v>
      </c>
      <c r="I25" s="501">
        <f t="shared" si="1"/>
        <v>0</v>
      </c>
      <c r="J25" s="501"/>
      <c r="K25" s="513"/>
      <c r="L25" s="505">
        <f t="shared" si="2"/>
        <v>0</v>
      </c>
      <c r="M25" s="513"/>
      <c r="N25" s="505">
        <f t="shared" si="3"/>
        <v>0</v>
      </c>
      <c r="O25" s="505">
        <f t="shared" si="4"/>
        <v>0</v>
      </c>
      <c r="P25" s="279"/>
    </row>
    <row r="26" spans="2:16" ht="12.5">
      <c r="B26" s="145" t="str">
        <f t="shared" si="0"/>
        <v/>
      </c>
      <c r="C26" s="496">
        <f>IF(D11="","-",+C25+1)</f>
        <v>2027</v>
      </c>
      <c r="D26" s="509">
        <f>IF(F25+SUM(E$17:E25)=D$10,F25,D$10-SUM(E$17:E25))</f>
        <v>13190869.345861012</v>
      </c>
      <c r="E26" s="510">
        <f t="shared" si="6"/>
        <v>502711.0882352941</v>
      </c>
      <c r="F26" s="511">
        <f t="shared" si="7"/>
        <v>12688158.257625718</v>
      </c>
      <c r="G26" s="512">
        <f t="shared" si="8"/>
        <v>1879697.2533467617</v>
      </c>
      <c r="H26" s="478">
        <f t="shared" si="9"/>
        <v>1879697.2533467617</v>
      </c>
      <c r="I26" s="501">
        <f t="shared" si="1"/>
        <v>0</v>
      </c>
      <c r="J26" s="501"/>
      <c r="K26" s="513"/>
      <c r="L26" s="505">
        <f t="shared" si="2"/>
        <v>0</v>
      </c>
      <c r="M26" s="513"/>
      <c r="N26" s="505">
        <f t="shared" si="3"/>
        <v>0</v>
      </c>
      <c r="O26" s="505">
        <f t="shared" si="4"/>
        <v>0</v>
      </c>
      <c r="P26" s="279"/>
    </row>
    <row r="27" spans="2:16" ht="12.5">
      <c r="B27" s="145" t="str">
        <f t="shared" si="0"/>
        <v/>
      </c>
      <c r="C27" s="496">
        <f>IF(D11="","-",+C26+1)</f>
        <v>2028</v>
      </c>
      <c r="D27" s="509">
        <f>IF(F26+SUM(E$17:E26)=D$10,F26,D$10-SUM(E$17:E26))</f>
        <v>12688158.257625718</v>
      </c>
      <c r="E27" s="510">
        <f t="shared" si="6"/>
        <v>502711.0882352941</v>
      </c>
      <c r="F27" s="511">
        <f t="shared" si="7"/>
        <v>12185447.169390423</v>
      </c>
      <c r="G27" s="512">
        <f t="shared" si="8"/>
        <v>1826200.1726871412</v>
      </c>
      <c r="H27" s="478">
        <f t="shared" si="9"/>
        <v>1826200.1726871412</v>
      </c>
      <c r="I27" s="501">
        <f t="shared" si="1"/>
        <v>0</v>
      </c>
      <c r="J27" s="501"/>
      <c r="K27" s="513"/>
      <c r="L27" s="505">
        <f t="shared" si="2"/>
        <v>0</v>
      </c>
      <c r="M27" s="513"/>
      <c r="N27" s="505">
        <f t="shared" si="3"/>
        <v>0</v>
      </c>
      <c r="O27" s="505">
        <f t="shared" si="4"/>
        <v>0</v>
      </c>
      <c r="P27" s="279"/>
    </row>
    <row r="28" spans="2:16" ht="12.5">
      <c r="B28" s="145" t="str">
        <f t="shared" si="0"/>
        <v/>
      </c>
      <c r="C28" s="496">
        <f>IF(D11="","-",+C27+1)</f>
        <v>2029</v>
      </c>
      <c r="D28" s="509">
        <f>IF(F27+SUM(E$17:E27)=D$10,F27,D$10-SUM(E$17:E27))</f>
        <v>12185447.169390423</v>
      </c>
      <c r="E28" s="510">
        <f t="shared" si="6"/>
        <v>502711.0882352941</v>
      </c>
      <c r="F28" s="511">
        <f t="shared" si="7"/>
        <v>11682736.081155129</v>
      </c>
      <c r="G28" s="512">
        <f t="shared" si="8"/>
        <v>1772703.0920275217</v>
      </c>
      <c r="H28" s="478">
        <f t="shared" si="9"/>
        <v>1772703.0920275217</v>
      </c>
      <c r="I28" s="501">
        <f t="shared" si="1"/>
        <v>0</v>
      </c>
      <c r="J28" s="501"/>
      <c r="K28" s="513"/>
      <c r="L28" s="505">
        <f t="shared" si="2"/>
        <v>0</v>
      </c>
      <c r="M28" s="513"/>
      <c r="N28" s="505">
        <f t="shared" si="3"/>
        <v>0</v>
      </c>
      <c r="O28" s="505">
        <f t="shared" si="4"/>
        <v>0</v>
      </c>
      <c r="P28" s="279"/>
    </row>
    <row r="29" spans="2:16" ht="12.5">
      <c r="B29" s="145" t="str">
        <f t="shared" si="0"/>
        <v/>
      </c>
      <c r="C29" s="496">
        <f>IF(D11="","-",+C28+1)</f>
        <v>2030</v>
      </c>
      <c r="D29" s="509">
        <f>IF(F28+SUM(E$17:E28)=D$10,F28,D$10-SUM(E$17:E28))</f>
        <v>11682736.081155129</v>
      </c>
      <c r="E29" s="510">
        <f t="shared" si="6"/>
        <v>502711.0882352941</v>
      </c>
      <c r="F29" s="511">
        <f t="shared" si="7"/>
        <v>11180024.992919834</v>
      </c>
      <c r="G29" s="512">
        <f t="shared" si="8"/>
        <v>1719206.0113679012</v>
      </c>
      <c r="H29" s="478">
        <f t="shared" si="9"/>
        <v>1719206.0113679012</v>
      </c>
      <c r="I29" s="501">
        <f t="shared" si="1"/>
        <v>0</v>
      </c>
      <c r="J29" s="501"/>
      <c r="K29" s="513"/>
      <c r="L29" s="505">
        <f t="shared" si="2"/>
        <v>0</v>
      </c>
      <c r="M29" s="513"/>
      <c r="N29" s="505">
        <f t="shared" si="3"/>
        <v>0</v>
      </c>
      <c r="O29" s="505">
        <f t="shared" si="4"/>
        <v>0</v>
      </c>
      <c r="P29" s="279"/>
    </row>
    <row r="30" spans="2:16" ht="12.5">
      <c r="B30" s="145" t="str">
        <f t="shared" si="0"/>
        <v/>
      </c>
      <c r="C30" s="496">
        <f>IF(D11="","-",+C29+1)</f>
        <v>2031</v>
      </c>
      <c r="D30" s="509">
        <f>IF(F29+SUM(E$17:E29)=D$10,F29,D$10-SUM(E$17:E29))</f>
        <v>11180024.992919834</v>
      </c>
      <c r="E30" s="510">
        <f t="shared" si="6"/>
        <v>502711.0882352941</v>
      </c>
      <c r="F30" s="511">
        <f t="shared" si="7"/>
        <v>10677313.90468454</v>
      </c>
      <c r="G30" s="512">
        <f t="shared" si="8"/>
        <v>1665708.9307082817</v>
      </c>
      <c r="H30" s="478">
        <f t="shared" si="9"/>
        <v>1665708.9307082817</v>
      </c>
      <c r="I30" s="501">
        <f t="shared" si="1"/>
        <v>0</v>
      </c>
      <c r="J30" s="501"/>
      <c r="K30" s="513"/>
      <c r="L30" s="505">
        <f t="shared" si="2"/>
        <v>0</v>
      </c>
      <c r="M30" s="513"/>
      <c r="N30" s="505">
        <f t="shared" si="3"/>
        <v>0</v>
      </c>
      <c r="O30" s="505">
        <f t="shared" si="4"/>
        <v>0</v>
      </c>
      <c r="P30" s="279"/>
    </row>
    <row r="31" spans="2:16" ht="12.5">
      <c r="B31" s="145" t="str">
        <f t="shared" si="0"/>
        <v/>
      </c>
      <c r="C31" s="496">
        <f>IF(D11="","-",+C30+1)</f>
        <v>2032</v>
      </c>
      <c r="D31" s="509">
        <f>IF(F30+SUM(E$17:E30)=D$10,F30,D$10-SUM(E$17:E30))</f>
        <v>10677313.90468454</v>
      </c>
      <c r="E31" s="510">
        <f t="shared" si="6"/>
        <v>502711.0882352941</v>
      </c>
      <c r="F31" s="511">
        <f t="shared" si="7"/>
        <v>10174602.816449245</v>
      </c>
      <c r="G31" s="512">
        <f t="shared" si="8"/>
        <v>1612211.8500486617</v>
      </c>
      <c r="H31" s="478">
        <f t="shared" si="9"/>
        <v>1612211.8500486617</v>
      </c>
      <c r="I31" s="501">
        <f t="shared" si="1"/>
        <v>0</v>
      </c>
      <c r="J31" s="501"/>
      <c r="K31" s="513"/>
      <c r="L31" s="505">
        <f t="shared" si="2"/>
        <v>0</v>
      </c>
      <c r="M31" s="513"/>
      <c r="N31" s="505">
        <f t="shared" si="3"/>
        <v>0</v>
      </c>
      <c r="O31" s="505">
        <f t="shared" si="4"/>
        <v>0</v>
      </c>
      <c r="P31" s="279"/>
    </row>
    <row r="32" spans="2:16" ht="12.5">
      <c r="B32" s="145" t="str">
        <f t="shared" si="0"/>
        <v/>
      </c>
      <c r="C32" s="496">
        <f>IF(D11="","-",+C31+1)</f>
        <v>2033</v>
      </c>
      <c r="D32" s="509">
        <f>IF(F31+SUM(E$17:E31)=D$10,F31,D$10-SUM(E$17:E31))</f>
        <v>10174602.816449245</v>
      </c>
      <c r="E32" s="510">
        <f t="shared" si="6"/>
        <v>502711.0882352941</v>
      </c>
      <c r="F32" s="511">
        <f t="shared" si="7"/>
        <v>9671891.728213951</v>
      </c>
      <c r="G32" s="512">
        <f t="shared" si="8"/>
        <v>1558714.7693890417</v>
      </c>
      <c r="H32" s="478">
        <f t="shared" si="9"/>
        <v>1558714.7693890417</v>
      </c>
      <c r="I32" s="501">
        <f t="shared" si="1"/>
        <v>0</v>
      </c>
      <c r="J32" s="501"/>
      <c r="K32" s="513"/>
      <c r="L32" s="505">
        <f t="shared" si="2"/>
        <v>0</v>
      </c>
      <c r="M32" s="513"/>
      <c r="N32" s="505">
        <f t="shared" si="3"/>
        <v>0</v>
      </c>
      <c r="O32" s="505">
        <f t="shared" si="4"/>
        <v>0</v>
      </c>
      <c r="P32" s="279"/>
    </row>
    <row r="33" spans="2:16" ht="12.5">
      <c r="B33" s="145" t="str">
        <f t="shared" si="0"/>
        <v/>
      </c>
      <c r="C33" s="496">
        <f>IF(D11="","-",+C32+1)</f>
        <v>2034</v>
      </c>
      <c r="D33" s="509">
        <f>IF(F32+SUM(E$17:E32)=D$10,F32,D$10-SUM(E$17:E32))</f>
        <v>9671891.728213951</v>
      </c>
      <c r="E33" s="510">
        <f t="shared" si="6"/>
        <v>502711.0882352941</v>
      </c>
      <c r="F33" s="511">
        <f t="shared" si="7"/>
        <v>9169180.6399786565</v>
      </c>
      <c r="G33" s="512">
        <f t="shared" si="8"/>
        <v>1505217.6887294217</v>
      </c>
      <c r="H33" s="478">
        <f t="shared" si="9"/>
        <v>1505217.6887294217</v>
      </c>
      <c r="I33" s="501">
        <f t="shared" si="1"/>
        <v>0</v>
      </c>
      <c r="J33" s="501"/>
      <c r="K33" s="513"/>
      <c r="L33" s="505">
        <f t="shared" si="2"/>
        <v>0</v>
      </c>
      <c r="M33" s="513"/>
      <c r="N33" s="505">
        <f t="shared" si="3"/>
        <v>0</v>
      </c>
      <c r="O33" s="505">
        <f t="shared" si="4"/>
        <v>0</v>
      </c>
      <c r="P33" s="279"/>
    </row>
    <row r="34" spans="2:16" ht="12.5">
      <c r="B34" s="145" t="str">
        <f t="shared" si="0"/>
        <v/>
      </c>
      <c r="C34" s="496">
        <f>IF(D11="","-",+C33+1)</f>
        <v>2035</v>
      </c>
      <c r="D34" s="509">
        <f>IF(F33+SUM(E$17:E33)=D$10,F33,D$10-SUM(E$17:E33))</f>
        <v>9169180.6399786565</v>
      </c>
      <c r="E34" s="510">
        <f t="shared" si="6"/>
        <v>502711.0882352941</v>
      </c>
      <c r="F34" s="511">
        <f t="shared" si="7"/>
        <v>8666469.5517433621</v>
      </c>
      <c r="G34" s="512">
        <f t="shared" si="8"/>
        <v>1451720.6080698017</v>
      </c>
      <c r="H34" s="478">
        <f t="shared" si="9"/>
        <v>1451720.6080698017</v>
      </c>
      <c r="I34" s="501">
        <f t="shared" si="1"/>
        <v>0</v>
      </c>
      <c r="J34" s="501"/>
      <c r="K34" s="513"/>
      <c r="L34" s="505">
        <f t="shared" si="2"/>
        <v>0</v>
      </c>
      <c r="M34" s="513"/>
      <c r="N34" s="505">
        <f t="shared" si="3"/>
        <v>0</v>
      </c>
      <c r="O34" s="505">
        <f t="shared" si="4"/>
        <v>0</v>
      </c>
      <c r="P34" s="279"/>
    </row>
    <row r="35" spans="2:16" ht="12.5">
      <c r="B35" s="145" t="str">
        <f t="shared" si="0"/>
        <v/>
      </c>
      <c r="C35" s="496">
        <f>IF(D11="","-",+C34+1)</f>
        <v>2036</v>
      </c>
      <c r="D35" s="509">
        <f>IF(F34+SUM(E$17:E34)=D$10,F34,D$10-SUM(E$17:E34))</f>
        <v>8666469.5517433621</v>
      </c>
      <c r="E35" s="510">
        <f t="shared" si="6"/>
        <v>502711.0882352941</v>
      </c>
      <c r="F35" s="511">
        <f t="shared" si="7"/>
        <v>8163758.4635080677</v>
      </c>
      <c r="G35" s="512">
        <f t="shared" si="8"/>
        <v>1398223.5274101817</v>
      </c>
      <c r="H35" s="478">
        <f t="shared" si="9"/>
        <v>1398223.5274101817</v>
      </c>
      <c r="I35" s="501">
        <f t="shared" si="1"/>
        <v>0</v>
      </c>
      <c r="J35" s="501"/>
      <c r="K35" s="513"/>
      <c r="L35" s="505">
        <f t="shared" si="2"/>
        <v>0</v>
      </c>
      <c r="M35" s="513"/>
      <c r="N35" s="505">
        <f t="shared" si="3"/>
        <v>0</v>
      </c>
      <c r="O35" s="505">
        <f t="shared" si="4"/>
        <v>0</v>
      </c>
      <c r="P35" s="279"/>
    </row>
    <row r="36" spans="2:16" ht="12.5">
      <c r="B36" s="145" t="str">
        <f t="shared" si="0"/>
        <v/>
      </c>
      <c r="C36" s="496">
        <f>IF(D11="","-",+C35+1)</f>
        <v>2037</v>
      </c>
      <c r="D36" s="509">
        <f>IF(F35+SUM(E$17:E35)=D$10,F35,D$10-SUM(E$17:E35))</f>
        <v>8163758.4635080677</v>
      </c>
      <c r="E36" s="510">
        <f t="shared" si="6"/>
        <v>502711.0882352941</v>
      </c>
      <c r="F36" s="511">
        <f t="shared" si="7"/>
        <v>7661047.3752727732</v>
      </c>
      <c r="G36" s="512">
        <f t="shared" si="8"/>
        <v>1344726.4467505617</v>
      </c>
      <c r="H36" s="478">
        <f t="shared" si="9"/>
        <v>1344726.4467505617</v>
      </c>
      <c r="I36" s="501">
        <f t="shared" si="1"/>
        <v>0</v>
      </c>
      <c r="J36" s="501"/>
      <c r="K36" s="513"/>
      <c r="L36" s="505">
        <f t="shared" si="2"/>
        <v>0</v>
      </c>
      <c r="M36" s="513"/>
      <c r="N36" s="505">
        <f t="shared" si="3"/>
        <v>0</v>
      </c>
      <c r="O36" s="505">
        <f t="shared" si="4"/>
        <v>0</v>
      </c>
      <c r="P36" s="279"/>
    </row>
    <row r="37" spans="2:16" ht="12.5">
      <c r="B37" s="145" t="str">
        <f t="shared" si="0"/>
        <v/>
      </c>
      <c r="C37" s="496">
        <f>IF(D11="","-",+C36+1)</f>
        <v>2038</v>
      </c>
      <c r="D37" s="509">
        <f>IF(F36+SUM(E$17:E36)=D$10,F36,D$10-SUM(E$17:E36))</f>
        <v>7661047.3752727732</v>
      </c>
      <c r="E37" s="510">
        <f t="shared" si="6"/>
        <v>502711.0882352941</v>
      </c>
      <c r="F37" s="511">
        <f t="shared" si="7"/>
        <v>7158336.2870374788</v>
      </c>
      <c r="G37" s="512">
        <f t="shared" si="8"/>
        <v>1291229.3660909417</v>
      </c>
      <c r="H37" s="478">
        <f t="shared" si="9"/>
        <v>1291229.3660909417</v>
      </c>
      <c r="I37" s="501">
        <f t="shared" si="1"/>
        <v>0</v>
      </c>
      <c r="J37" s="501"/>
      <c r="K37" s="513"/>
      <c r="L37" s="505">
        <f t="shared" si="2"/>
        <v>0</v>
      </c>
      <c r="M37" s="513"/>
      <c r="N37" s="505">
        <f t="shared" si="3"/>
        <v>0</v>
      </c>
      <c r="O37" s="505">
        <f t="shared" si="4"/>
        <v>0</v>
      </c>
      <c r="P37" s="279"/>
    </row>
    <row r="38" spans="2:16" ht="12.5">
      <c r="B38" s="145" t="str">
        <f t="shared" si="0"/>
        <v/>
      </c>
      <c r="C38" s="496">
        <f>IF(D11="","-",+C37+1)</f>
        <v>2039</v>
      </c>
      <c r="D38" s="509">
        <f>IF(F37+SUM(E$17:E37)=D$10,F37,D$10-SUM(E$17:E37))</f>
        <v>7158336.2870374788</v>
      </c>
      <c r="E38" s="510">
        <f t="shared" si="6"/>
        <v>502711.0882352941</v>
      </c>
      <c r="F38" s="511">
        <f t="shared" si="7"/>
        <v>6655625.1988021843</v>
      </c>
      <c r="G38" s="512">
        <f t="shared" si="8"/>
        <v>1237732.2854313217</v>
      </c>
      <c r="H38" s="478">
        <f t="shared" si="9"/>
        <v>1237732.2854313217</v>
      </c>
      <c r="I38" s="501">
        <f t="shared" si="1"/>
        <v>0</v>
      </c>
      <c r="J38" s="501"/>
      <c r="K38" s="513"/>
      <c r="L38" s="505">
        <f t="shared" si="2"/>
        <v>0</v>
      </c>
      <c r="M38" s="513"/>
      <c r="N38" s="505">
        <f t="shared" si="3"/>
        <v>0</v>
      </c>
      <c r="O38" s="505">
        <f t="shared" si="4"/>
        <v>0</v>
      </c>
      <c r="P38" s="279"/>
    </row>
    <row r="39" spans="2:16" ht="12.5">
      <c r="B39" s="145" t="str">
        <f t="shared" si="0"/>
        <v/>
      </c>
      <c r="C39" s="496">
        <f>IF(D11="","-",+C38+1)</f>
        <v>2040</v>
      </c>
      <c r="D39" s="509">
        <f>IF(F38+SUM(E$17:E38)=D$10,F38,D$10-SUM(E$17:E38))</f>
        <v>6655625.1988021843</v>
      </c>
      <c r="E39" s="510">
        <f t="shared" si="6"/>
        <v>502711.0882352941</v>
      </c>
      <c r="F39" s="511">
        <f t="shared" si="7"/>
        <v>6152914.1105668899</v>
      </c>
      <c r="G39" s="512">
        <f t="shared" si="8"/>
        <v>1184235.2047717017</v>
      </c>
      <c r="H39" s="478">
        <f t="shared" si="9"/>
        <v>1184235.2047717017</v>
      </c>
      <c r="I39" s="501">
        <f t="shared" si="1"/>
        <v>0</v>
      </c>
      <c r="J39" s="501"/>
      <c r="K39" s="513"/>
      <c r="L39" s="505">
        <f t="shared" si="2"/>
        <v>0</v>
      </c>
      <c r="M39" s="513"/>
      <c r="N39" s="505">
        <f t="shared" si="3"/>
        <v>0</v>
      </c>
      <c r="O39" s="505">
        <f t="shared" si="4"/>
        <v>0</v>
      </c>
      <c r="P39" s="279"/>
    </row>
    <row r="40" spans="2:16" ht="12.5">
      <c r="B40" s="145" t="str">
        <f t="shared" si="0"/>
        <v/>
      </c>
      <c r="C40" s="496">
        <f>IF(D11="","-",+C39+1)</f>
        <v>2041</v>
      </c>
      <c r="D40" s="509">
        <f>IF(F39+SUM(E$17:E39)=D$10,F39,D$10-SUM(E$17:E39))</f>
        <v>6152914.1105668899</v>
      </c>
      <c r="E40" s="510">
        <f t="shared" si="6"/>
        <v>502711.0882352941</v>
      </c>
      <c r="F40" s="511">
        <f t="shared" si="7"/>
        <v>5650203.0223315954</v>
      </c>
      <c r="G40" s="512">
        <f t="shared" si="8"/>
        <v>1130738.1241120819</v>
      </c>
      <c r="H40" s="478">
        <f t="shared" si="9"/>
        <v>1130738.1241120819</v>
      </c>
      <c r="I40" s="501">
        <f t="shared" si="1"/>
        <v>0</v>
      </c>
      <c r="J40" s="501"/>
      <c r="K40" s="513"/>
      <c r="L40" s="505">
        <f t="shared" si="2"/>
        <v>0</v>
      </c>
      <c r="M40" s="513"/>
      <c r="N40" s="505">
        <f t="shared" si="3"/>
        <v>0</v>
      </c>
      <c r="O40" s="505">
        <f t="shared" si="4"/>
        <v>0</v>
      </c>
      <c r="P40" s="279"/>
    </row>
    <row r="41" spans="2:16" ht="12.5">
      <c r="B41" s="145" t="str">
        <f t="shared" si="0"/>
        <v/>
      </c>
      <c r="C41" s="496">
        <f>IF(D11="","-",+C40+1)</f>
        <v>2042</v>
      </c>
      <c r="D41" s="509">
        <f>IF(F40+SUM(E$17:E40)=D$10,F40,D$10-SUM(E$17:E40))</f>
        <v>5650203.0223315954</v>
      </c>
      <c r="E41" s="510">
        <f t="shared" si="6"/>
        <v>502711.0882352941</v>
      </c>
      <c r="F41" s="511">
        <f t="shared" si="7"/>
        <v>5147491.934096301</v>
      </c>
      <c r="G41" s="512">
        <f t="shared" si="8"/>
        <v>1077241.0434524619</v>
      </c>
      <c r="H41" s="478">
        <f t="shared" si="9"/>
        <v>1077241.0434524619</v>
      </c>
      <c r="I41" s="501">
        <f t="shared" si="1"/>
        <v>0</v>
      </c>
      <c r="J41" s="501"/>
      <c r="K41" s="513"/>
      <c r="L41" s="505">
        <f t="shared" si="2"/>
        <v>0</v>
      </c>
      <c r="M41" s="513"/>
      <c r="N41" s="505">
        <f t="shared" si="3"/>
        <v>0</v>
      </c>
      <c r="O41" s="505">
        <f t="shared" si="4"/>
        <v>0</v>
      </c>
      <c r="P41" s="279"/>
    </row>
    <row r="42" spans="2:16" ht="12.5">
      <c r="B42" s="145" t="str">
        <f t="shared" si="0"/>
        <v/>
      </c>
      <c r="C42" s="496">
        <f>IF(D11="","-",+C41+1)</f>
        <v>2043</v>
      </c>
      <c r="D42" s="509">
        <f>IF(F41+SUM(E$17:E41)=D$10,F41,D$10-SUM(E$17:E41))</f>
        <v>5147491.934096301</v>
      </c>
      <c r="E42" s="510">
        <f t="shared" si="6"/>
        <v>502711.0882352941</v>
      </c>
      <c r="F42" s="511">
        <f t="shared" si="7"/>
        <v>4644780.8458610065</v>
      </c>
      <c r="G42" s="512">
        <f t="shared" si="8"/>
        <v>1023743.962792842</v>
      </c>
      <c r="H42" s="478">
        <f t="shared" si="9"/>
        <v>1023743.962792842</v>
      </c>
      <c r="I42" s="501">
        <f t="shared" si="1"/>
        <v>0</v>
      </c>
      <c r="J42" s="501"/>
      <c r="K42" s="513"/>
      <c r="L42" s="505">
        <f t="shared" si="2"/>
        <v>0</v>
      </c>
      <c r="M42" s="513"/>
      <c r="N42" s="505">
        <f t="shared" si="3"/>
        <v>0</v>
      </c>
      <c r="O42" s="505">
        <f t="shared" si="4"/>
        <v>0</v>
      </c>
      <c r="P42" s="279"/>
    </row>
    <row r="43" spans="2:16" ht="12.5">
      <c r="B43" s="145" t="str">
        <f t="shared" si="0"/>
        <v/>
      </c>
      <c r="C43" s="496">
        <f>IF(D11="","-",+C42+1)</f>
        <v>2044</v>
      </c>
      <c r="D43" s="509">
        <f>IF(F42+SUM(E$17:E42)=D$10,F42,D$10-SUM(E$17:E42))</f>
        <v>4644780.8458610065</v>
      </c>
      <c r="E43" s="510">
        <f t="shared" si="6"/>
        <v>502711.0882352941</v>
      </c>
      <c r="F43" s="511">
        <f t="shared" si="7"/>
        <v>4142069.7576257125</v>
      </c>
      <c r="G43" s="512">
        <f t="shared" si="8"/>
        <v>970246.88213322195</v>
      </c>
      <c r="H43" s="478">
        <f t="shared" si="9"/>
        <v>970246.88213322195</v>
      </c>
      <c r="I43" s="501">
        <f t="shared" si="1"/>
        <v>0</v>
      </c>
      <c r="J43" s="501"/>
      <c r="K43" s="513"/>
      <c r="L43" s="505">
        <f t="shared" si="2"/>
        <v>0</v>
      </c>
      <c r="M43" s="513"/>
      <c r="N43" s="505">
        <f t="shared" si="3"/>
        <v>0</v>
      </c>
      <c r="O43" s="505">
        <f t="shared" si="4"/>
        <v>0</v>
      </c>
      <c r="P43" s="279"/>
    </row>
    <row r="44" spans="2:16" ht="12.5">
      <c r="B44" s="145" t="str">
        <f t="shared" si="0"/>
        <v/>
      </c>
      <c r="C44" s="496">
        <f>IF(D11="","-",+C43+1)</f>
        <v>2045</v>
      </c>
      <c r="D44" s="509">
        <f>IF(F43+SUM(E$17:E43)=D$10,F43,D$10-SUM(E$17:E43))</f>
        <v>4142069.7576257125</v>
      </c>
      <c r="E44" s="510">
        <f t="shared" si="6"/>
        <v>502711.0882352941</v>
      </c>
      <c r="F44" s="511">
        <f t="shared" si="7"/>
        <v>3639358.6693904186</v>
      </c>
      <c r="G44" s="512">
        <f t="shared" si="8"/>
        <v>916749.80147360219</v>
      </c>
      <c r="H44" s="478">
        <f t="shared" si="9"/>
        <v>916749.80147360219</v>
      </c>
      <c r="I44" s="501">
        <f t="shared" si="1"/>
        <v>0</v>
      </c>
      <c r="J44" s="501"/>
      <c r="K44" s="513"/>
      <c r="L44" s="505">
        <f t="shared" si="2"/>
        <v>0</v>
      </c>
      <c r="M44" s="513"/>
      <c r="N44" s="505">
        <f t="shared" si="3"/>
        <v>0</v>
      </c>
      <c r="O44" s="505">
        <f t="shared" si="4"/>
        <v>0</v>
      </c>
      <c r="P44" s="279"/>
    </row>
    <row r="45" spans="2:16" ht="12.5">
      <c r="B45" s="145" t="str">
        <f t="shared" si="0"/>
        <v/>
      </c>
      <c r="C45" s="496">
        <f>IF(D11="","-",+C44+1)</f>
        <v>2046</v>
      </c>
      <c r="D45" s="509">
        <f>IF(F44+SUM(E$17:E44)=D$10,F44,D$10-SUM(E$17:E44))</f>
        <v>3639358.6693904186</v>
      </c>
      <c r="E45" s="510">
        <f t="shared" si="6"/>
        <v>502711.0882352941</v>
      </c>
      <c r="F45" s="511">
        <f t="shared" si="7"/>
        <v>3136647.5811551246</v>
      </c>
      <c r="G45" s="512">
        <f t="shared" si="8"/>
        <v>863252.72081398219</v>
      </c>
      <c r="H45" s="478">
        <f t="shared" si="9"/>
        <v>863252.72081398219</v>
      </c>
      <c r="I45" s="501">
        <f t="shared" si="1"/>
        <v>0</v>
      </c>
      <c r="J45" s="501"/>
      <c r="K45" s="513"/>
      <c r="L45" s="505">
        <f t="shared" si="2"/>
        <v>0</v>
      </c>
      <c r="M45" s="513"/>
      <c r="N45" s="505">
        <f t="shared" si="3"/>
        <v>0</v>
      </c>
      <c r="O45" s="505">
        <f t="shared" si="4"/>
        <v>0</v>
      </c>
      <c r="P45" s="279"/>
    </row>
    <row r="46" spans="2:16" ht="12.5">
      <c r="B46" s="145" t="str">
        <f t="shared" si="0"/>
        <v/>
      </c>
      <c r="C46" s="496">
        <f>IF(D11="","-",+C45+1)</f>
        <v>2047</v>
      </c>
      <c r="D46" s="509">
        <f>IF(F45+SUM(E$17:E45)=D$10,F45,D$10-SUM(E$17:E45))</f>
        <v>3136647.5811551246</v>
      </c>
      <c r="E46" s="510">
        <f t="shared" si="6"/>
        <v>502711.0882352941</v>
      </c>
      <c r="F46" s="511">
        <f t="shared" si="7"/>
        <v>2633936.4929198306</v>
      </c>
      <c r="G46" s="512">
        <f t="shared" si="8"/>
        <v>809755.64015436231</v>
      </c>
      <c r="H46" s="478">
        <f t="shared" si="9"/>
        <v>809755.64015436231</v>
      </c>
      <c r="I46" s="501">
        <f t="shared" si="1"/>
        <v>0</v>
      </c>
      <c r="J46" s="501"/>
      <c r="K46" s="513"/>
      <c r="L46" s="505">
        <f t="shared" si="2"/>
        <v>0</v>
      </c>
      <c r="M46" s="513"/>
      <c r="N46" s="505">
        <f t="shared" si="3"/>
        <v>0</v>
      </c>
      <c r="O46" s="505">
        <f t="shared" si="4"/>
        <v>0</v>
      </c>
      <c r="P46" s="279"/>
    </row>
    <row r="47" spans="2:16" ht="12.5">
      <c r="B47" s="145" t="str">
        <f t="shared" si="0"/>
        <v/>
      </c>
      <c r="C47" s="496">
        <f>IF(D11="","-",+C46+1)</f>
        <v>2048</v>
      </c>
      <c r="D47" s="509">
        <f>IF(F46+SUM(E$17:E46)=D$10,F46,D$10-SUM(E$17:E46))</f>
        <v>2633936.4929198306</v>
      </c>
      <c r="E47" s="510">
        <f t="shared" si="6"/>
        <v>502711.0882352941</v>
      </c>
      <c r="F47" s="511">
        <f t="shared" si="7"/>
        <v>2131225.4046845366</v>
      </c>
      <c r="G47" s="512">
        <f t="shared" si="8"/>
        <v>756258.55949474231</v>
      </c>
      <c r="H47" s="478">
        <f t="shared" si="9"/>
        <v>756258.55949474231</v>
      </c>
      <c r="I47" s="501">
        <f t="shared" si="1"/>
        <v>0</v>
      </c>
      <c r="J47" s="501"/>
      <c r="K47" s="513"/>
      <c r="L47" s="505">
        <f t="shared" si="2"/>
        <v>0</v>
      </c>
      <c r="M47" s="513"/>
      <c r="N47" s="505">
        <f t="shared" si="3"/>
        <v>0</v>
      </c>
      <c r="O47" s="505">
        <f t="shared" si="4"/>
        <v>0</v>
      </c>
      <c r="P47" s="279"/>
    </row>
    <row r="48" spans="2:16" ht="12.5">
      <c r="B48" s="145" t="str">
        <f t="shared" si="0"/>
        <v/>
      </c>
      <c r="C48" s="496">
        <f>IF(D11="","-",+C47+1)</f>
        <v>2049</v>
      </c>
      <c r="D48" s="509">
        <f>IF(F47+SUM(E$17:E47)=D$10,F47,D$10-SUM(E$17:E47))</f>
        <v>2131225.4046845366</v>
      </c>
      <c r="E48" s="510">
        <f t="shared" si="6"/>
        <v>502711.0882352941</v>
      </c>
      <c r="F48" s="511">
        <f t="shared" si="7"/>
        <v>1628514.3164492426</v>
      </c>
      <c r="G48" s="512">
        <f t="shared" si="8"/>
        <v>702761.47883512243</v>
      </c>
      <c r="H48" s="478">
        <f t="shared" si="9"/>
        <v>702761.47883512243</v>
      </c>
      <c r="I48" s="501">
        <f t="shared" si="1"/>
        <v>0</v>
      </c>
      <c r="J48" s="501"/>
      <c r="K48" s="513"/>
      <c r="L48" s="505">
        <f t="shared" si="2"/>
        <v>0</v>
      </c>
      <c r="M48" s="513"/>
      <c r="N48" s="505">
        <f t="shared" si="3"/>
        <v>0</v>
      </c>
      <c r="O48" s="505">
        <f t="shared" si="4"/>
        <v>0</v>
      </c>
      <c r="P48" s="279"/>
    </row>
    <row r="49" spans="2:16" ht="12.5">
      <c r="B49" s="145" t="str">
        <f t="shared" si="0"/>
        <v/>
      </c>
      <c r="C49" s="496">
        <f>IF(D11="","-",+C48+1)</f>
        <v>2050</v>
      </c>
      <c r="D49" s="509">
        <f>IF(F48+SUM(E$17:E48)=D$10,F48,D$10-SUM(E$17:E48))</f>
        <v>1628514.3164492426</v>
      </c>
      <c r="E49" s="510">
        <f t="shared" si="6"/>
        <v>502711.0882352941</v>
      </c>
      <c r="F49" s="511">
        <f t="shared" si="7"/>
        <v>1125803.2282139487</v>
      </c>
      <c r="G49" s="512">
        <f t="shared" si="8"/>
        <v>649264.39817550255</v>
      </c>
      <c r="H49" s="478">
        <f t="shared" si="9"/>
        <v>649264.39817550255</v>
      </c>
      <c r="I49" s="501">
        <f t="shared" si="1"/>
        <v>0</v>
      </c>
      <c r="J49" s="501"/>
      <c r="K49" s="513"/>
      <c r="L49" s="505">
        <f t="shared" si="2"/>
        <v>0</v>
      </c>
      <c r="M49" s="513"/>
      <c r="N49" s="505">
        <f t="shared" si="3"/>
        <v>0</v>
      </c>
      <c r="O49" s="505">
        <f t="shared" si="4"/>
        <v>0</v>
      </c>
      <c r="P49" s="279"/>
    </row>
    <row r="50" spans="2:16" ht="12.5">
      <c r="B50" s="145" t="str">
        <f t="shared" si="0"/>
        <v/>
      </c>
      <c r="C50" s="496">
        <f>IF(D11="","-",+C49+1)</f>
        <v>2051</v>
      </c>
      <c r="D50" s="509">
        <f>IF(F49+SUM(E$17:E49)=D$10,F49,D$10-SUM(E$17:E49))</f>
        <v>1125803.2282139487</v>
      </c>
      <c r="E50" s="510">
        <f t="shared" si="6"/>
        <v>502711.0882352941</v>
      </c>
      <c r="F50" s="511">
        <f t="shared" si="7"/>
        <v>623092.13997865457</v>
      </c>
      <c r="G50" s="512">
        <f t="shared" si="8"/>
        <v>595767.31751588266</v>
      </c>
      <c r="H50" s="478">
        <f t="shared" si="9"/>
        <v>595767.31751588266</v>
      </c>
      <c r="I50" s="501">
        <f t="shared" si="1"/>
        <v>0</v>
      </c>
      <c r="J50" s="501"/>
      <c r="K50" s="513"/>
      <c r="L50" s="505">
        <f t="shared" si="2"/>
        <v>0</v>
      </c>
      <c r="M50" s="513"/>
      <c r="N50" s="505">
        <f t="shared" si="3"/>
        <v>0</v>
      </c>
      <c r="O50" s="505">
        <f t="shared" si="4"/>
        <v>0</v>
      </c>
      <c r="P50" s="279"/>
    </row>
    <row r="51" spans="2:16" ht="12.5">
      <c r="B51" s="145" t="str">
        <f t="shared" si="0"/>
        <v/>
      </c>
      <c r="C51" s="496">
        <f>IF(D11="","-",+C50+1)</f>
        <v>2052</v>
      </c>
      <c r="D51" s="509">
        <f>IF(F50+SUM(E$17:E50)=D$10,F50,D$10-SUM(E$17:E50))</f>
        <v>623092.13997865457</v>
      </c>
      <c r="E51" s="510">
        <f t="shared" si="6"/>
        <v>502711.0882352941</v>
      </c>
      <c r="F51" s="511">
        <f t="shared" si="7"/>
        <v>120381.05174336047</v>
      </c>
      <c r="G51" s="512">
        <f t="shared" si="8"/>
        <v>542270.23685626267</v>
      </c>
      <c r="H51" s="478">
        <f t="shared" si="9"/>
        <v>542270.23685626267</v>
      </c>
      <c r="I51" s="501">
        <f t="shared" si="1"/>
        <v>0</v>
      </c>
      <c r="J51" s="501"/>
      <c r="K51" s="513"/>
      <c r="L51" s="505">
        <f t="shared" si="2"/>
        <v>0</v>
      </c>
      <c r="M51" s="513"/>
      <c r="N51" s="505">
        <f t="shared" si="3"/>
        <v>0</v>
      </c>
      <c r="O51" s="505">
        <f t="shared" si="4"/>
        <v>0</v>
      </c>
      <c r="P51" s="279"/>
    </row>
    <row r="52" spans="2:16" ht="12.5">
      <c r="B52" s="145" t="str">
        <f t="shared" si="0"/>
        <v/>
      </c>
      <c r="C52" s="496">
        <f>IF(D11="","-",+C51+1)</f>
        <v>2053</v>
      </c>
      <c r="D52" s="509">
        <f>IF(F51+SUM(E$17:E51)=D$10,F51,D$10-SUM(E$17:E51))</f>
        <v>120381.05174336047</v>
      </c>
      <c r="E52" s="510">
        <f t="shared" si="6"/>
        <v>120381.05174336047</v>
      </c>
      <c r="F52" s="511">
        <f t="shared" si="7"/>
        <v>0</v>
      </c>
      <c r="G52" s="512">
        <f t="shared" si="8"/>
        <v>126786.35588893978</v>
      </c>
      <c r="H52" s="478">
        <f t="shared" si="9"/>
        <v>126786.35588893978</v>
      </c>
      <c r="I52" s="501">
        <f t="shared" si="1"/>
        <v>0</v>
      </c>
      <c r="J52" s="501"/>
      <c r="K52" s="513"/>
      <c r="L52" s="505">
        <f t="shared" si="2"/>
        <v>0</v>
      </c>
      <c r="M52" s="513"/>
      <c r="N52" s="505">
        <f t="shared" si="3"/>
        <v>0</v>
      </c>
      <c r="O52" s="505">
        <f t="shared" si="4"/>
        <v>0</v>
      </c>
      <c r="P52" s="279"/>
    </row>
    <row r="53" spans="2:16" ht="12.5">
      <c r="B53" s="145" t="str">
        <f t="shared" si="0"/>
        <v/>
      </c>
      <c r="C53" s="496">
        <f>IF(D11="","-",+C52+1)</f>
        <v>2054</v>
      </c>
      <c r="D53" s="509">
        <f>IF(F52+SUM(E$17:E52)=D$10,F52,D$10-SUM(E$17:E52))</f>
        <v>0</v>
      </c>
      <c r="E53" s="510">
        <f t="shared" si="6"/>
        <v>0</v>
      </c>
      <c r="F53" s="511">
        <f t="shared" si="7"/>
        <v>0</v>
      </c>
      <c r="G53" s="512">
        <f t="shared" si="8"/>
        <v>0</v>
      </c>
      <c r="H53" s="478">
        <f t="shared" si="9"/>
        <v>0</v>
      </c>
      <c r="I53" s="501">
        <f t="shared" si="1"/>
        <v>0</v>
      </c>
      <c r="J53" s="501"/>
      <c r="K53" s="513"/>
      <c r="L53" s="505">
        <f t="shared" si="2"/>
        <v>0</v>
      </c>
      <c r="M53" s="513"/>
      <c r="N53" s="505">
        <f t="shared" si="3"/>
        <v>0</v>
      </c>
      <c r="O53" s="505">
        <f t="shared" si="4"/>
        <v>0</v>
      </c>
      <c r="P53" s="279"/>
    </row>
    <row r="54" spans="2:16" ht="12.5">
      <c r="B54" s="145" t="str">
        <f t="shared" si="0"/>
        <v/>
      </c>
      <c r="C54" s="496">
        <f>IF(D11="","-",+C53+1)</f>
        <v>2055</v>
      </c>
      <c r="D54" s="509">
        <f>IF(F53+SUM(E$17:E53)=D$10,F53,D$10-SUM(E$17:E53))</f>
        <v>0</v>
      </c>
      <c r="E54" s="510">
        <f t="shared" si="6"/>
        <v>0</v>
      </c>
      <c r="F54" s="511">
        <f t="shared" si="7"/>
        <v>0</v>
      </c>
      <c r="G54" s="512">
        <f t="shared" si="8"/>
        <v>0</v>
      </c>
      <c r="H54" s="478">
        <f t="shared" si="9"/>
        <v>0</v>
      </c>
      <c r="I54" s="501">
        <f t="shared" si="1"/>
        <v>0</v>
      </c>
      <c r="J54" s="501"/>
      <c r="K54" s="513"/>
      <c r="L54" s="505">
        <f t="shared" si="2"/>
        <v>0</v>
      </c>
      <c r="M54" s="513"/>
      <c r="N54" s="505">
        <f t="shared" si="3"/>
        <v>0</v>
      </c>
      <c r="O54" s="505">
        <f t="shared" si="4"/>
        <v>0</v>
      </c>
      <c r="P54" s="279"/>
    </row>
    <row r="55" spans="2:16" ht="12.5">
      <c r="B55" s="145" t="str">
        <f t="shared" si="0"/>
        <v/>
      </c>
      <c r="C55" s="496">
        <f>IF(D11="","-",+C54+1)</f>
        <v>2056</v>
      </c>
      <c r="D55" s="509">
        <f>IF(F54+SUM(E$17:E54)=D$10,F54,D$10-SUM(E$17:E54))</f>
        <v>0</v>
      </c>
      <c r="E55" s="510">
        <f t="shared" si="6"/>
        <v>0</v>
      </c>
      <c r="F55" s="511">
        <f t="shared" si="7"/>
        <v>0</v>
      </c>
      <c r="G55" s="512">
        <f t="shared" si="8"/>
        <v>0</v>
      </c>
      <c r="H55" s="478">
        <f t="shared" si="9"/>
        <v>0</v>
      </c>
      <c r="I55" s="501">
        <f t="shared" si="1"/>
        <v>0</v>
      </c>
      <c r="J55" s="501"/>
      <c r="K55" s="513"/>
      <c r="L55" s="505">
        <f t="shared" si="2"/>
        <v>0</v>
      </c>
      <c r="M55" s="513"/>
      <c r="N55" s="505">
        <f t="shared" si="3"/>
        <v>0</v>
      </c>
      <c r="O55" s="505">
        <f t="shared" si="4"/>
        <v>0</v>
      </c>
      <c r="P55" s="279"/>
    </row>
    <row r="56" spans="2:16" ht="12.5">
      <c r="B56" s="145" t="str">
        <f t="shared" si="0"/>
        <v/>
      </c>
      <c r="C56" s="496">
        <f>IF(D11="","-",+C55+1)</f>
        <v>2057</v>
      </c>
      <c r="D56" s="509">
        <f>IF(F55+SUM(E$17:E55)=D$10,F55,D$10-SUM(E$17:E55))</f>
        <v>0</v>
      </c>
      <c r="E56" s="510">
        <f t="shared" si="6"/>
        <v>0</v>
      </c>
      <c r="F56" s="511">
        <f t="shared" si="7"/>
        <v>0</v>
      </c>
      <c r="G56" s="512">
        <f t="shared" si="8"/>
        <v>0</v>
      </c>
      <c r="H56" s="478">
        <f t="shared" si="9"/>
        <v>0</v>
      </c>
      <c r="I56" s="501">
        <f t="shared" si="1"/>
        <v>0</v>
      </c>
      <c r="J56" s="501"/>
      <c r="K56" s="513"/>
      <c r="L56" s="505">
        <f t="shared" si="2"/>
        <v>0</v>
      </c>
      <c r="M56" s="513"/>
      <c r="N56" s="505">
        <f t="shared" si="3"/>
        <v>0</v>
      </c>
      <c r="O56" s="505">
        <f t="shared" si="4"/>
        <v>0</v>
      </c>
      <c r="P56" s="279"/>
    </row>
    <row r="57" spans="2:16" ht="12.5">
      <c r="B57" s="145" t="str">
        <f t="shared" si="0"/>
        <v/>
      </c>
      <c r="C57" s="496">
        <f>IF(D11="","-",+C56+1)</f>
        <v>2058</v>
      </c>
      <c r="D57" s="509">
        <f>IF(F56+SUM(E$17:E56)=D$10,F56,D$10-SUM(E$17:E56))</f>
        <v>0</v>
      </c>
      <c r="E57" s="510">
        <f t="shared" si="6"/>
        <v>0</v>
      </c>
      <c r="F57" s="511">
        <f t="shared" si="7"/>
        <v>0</v>
      </c>
      <c r="G57" s="512">
        <f t="shared" si="8"/>
        <v>0</v>
      </c>
      <c r="H57" s="478">
        <f t="shared" si="9"/>
        <v>0</v>
      </c>
      <c r="I57" s="501">
        <f t="shared" si="1"/>
        <v>0</v>
      </c>
      <c r="J57" s="501"/>
      <c r="K57" s="513"/>
      <c r="L57" s="505">
        <f t="shared" si="2"/>
        <v>0</v>
      </c>
      <c r="M57" s="513"/>
      <c r="N57" s="505">
        <f t="shared" si="3"/>
        <v>0</v>
      </c>
      <c r="O57" s="505">
        <f t="shared" si="4"/>
        <v>0</v>
      </c>
      <c r="P57" s="279"/>
    </row>
    <row r="58" spans="2:16" ht="12.5">
      <c r="B58" s="145" t="str">
        <f t="shared" si="0"/>
        <v/>
      </c>
      <c r="C58" s="496">
        <f>IF(D11="","-",+C57+1)</f>
        <v>2059</v>
      </c>
      <c r="D58" s="509">
        <f>IF(F57+SUM(E$17:E57)=D$10,F57,D$10-SUM(E$17:E57))</f>
        <v>0</v>
      </c>
      <c r="E58" s="510">
        <f t="shared" si="6"/>
        <v>0</v>
      </c>
      <c r="F58" s="511">
        <f t="shared" si="7"/>
        <v>0</v>
      </c>
      <c r="G58" s="512">
        <f t="shared" si="8"/>
        <v>0</v>
      </c>
      <c r="H58" s="478">
        <f t="shared" si="9"/>
        <v>0</v>
      </c>
      <c r="I58" s="501">
        <f t="shared" si="1"/>
        <v>0</v>
      </c>
      <c r="J58" s="501"/>
      <c r="K58" s="513"/>
      <c r="L58" s="505">
        <f t="shared" si="2"/>
        <v>0</v>
      </c>
      <c r="M58" s="513"/>
      <c r="N58" s="505">
        <f t="shared" si="3"/>
        <v>0</v>
      </c>
      <c r="O58" s="505">
        <f t="shared" si="4"/>
        <v>0</v>
      </c>
      <c r="P58" s="279"/>
    </row>
    <row r="59" spans="2:16" ht="12.5">
      <c r="B59" s="145" t="str">
        <f t="shared" si="0"/>
        <v/>
      </c>
      <c r="C59" s="496">
        <f>IF(D11="","-",+C58+1)</f>
        <v>2060</v>
      </c>
      <c r="D59" s="509">
        <f>IF(F58+SUM(E$17:E58)=D$10,F58,D$10-SUM(E$17:E58))</f>
        <v>0</v>
      </c>
      <c r="E59" s="510">
        <f t="shared" si="6"/>
        <v>0</v>
      </c>
      <c r="F59" s="511">
        <f t="shared" si="7"/>
        <v>0</v>
      </c>
      <c r="G59" s="512">
        <f t="shared" si="8"/>
        <v>0</v>
      </c>
      <c r="H59" s="478">
        <f t="shared" si="9"/>
        <v>0</v>
      </c>
      <c r="I59" s="501">
        <f t="shared" si="1"/>
        <v>0</v>
      </c>
      <c r="J59" s="501"/>
      <c r="K59" s="513"/>
      <c r="L59" s="505">
        <f t="shared" si="2"/>
        <v>0</v>
      </c>
      <c r="M59" s="513"/>
      <c r="N59" s="505">
        <f t="shared" si="3"/>
        <v>0</v>
      </c>
      <c r="O59" s="505">
        <f t="shared" si="4"/>
        <v>0</v>
      </c>
      <c r="P59" s="279"/>
    </row>
    <row r="60" spans="2:16" ht="12.5">
      <c r="B60" s="145" t="str">
        <f t="shared" si="0"/>
        <v/>
      </c>
      <c r="C60" s="496">
        <f>IF(D11="","-",+C59+1)</f>
        <v>2061</v>
      </c>
      <c r="D60" s="509">
        <f>IF(F59+SUM(E$17:E59)=D$10,F59,D$10-SUM(E$17:E59))</f>
        <v>0</v>
      </c>
      <c r="E60" s="510">
        <f t="shared" si="6"/>
        <v>0</v>
      </c>
      <c r="F60" s="511">
        <f t="shared" si="7"/>
        <v>0</v>
      </c>
      <c r="G60" s="512">
        <f t="shared" si="8"/>
        <v>0</v>
      </c>
      <c r="H60" s="478">
        <f t="shared" si="9"/>
        <v>0</v>
      </c>
      <c r="I60" s="501">
        <f t="shared" si="1"/>
        <v>0</v>
      </c>
      <c r="J60" s="501"/>
      <c r="K60" s="513"/>
      <c r="L60" s="505">
        <f t="shared" si="2"/>
        <v>0</v>
      </c>
      <c r="M60" s="513"/>
      <c r="N60" s="505">
        <f t="shared" si="3"/>
        <v>0</v>
      </c>
      <c r="O60" s="505">
        <f t="shared" si="4"/>
        <v>0</v>
      </c>
      <c r="P60" s="279"/>
    </row>
    <row r="61" spans="2:16" ht="12.5">
      <c r="B61" s="145" t="str">
        <f t="shared" si="0"/>
        <v/>
      </c>
      <c r="C61" s="496">
        <f>IF(D11="","-",+C60+1)</f>
        <v>2062</v>
      </c>
      <c r="D61" s="509">
        <f>IF(F60+SUM(E$17:E60)=D$10,F60,D$10-SUM(E$17:E60))</f>
        <v>0</v>
      </c>
      <c r="E61" s="510">
        <f t="shared" si="6"/>
        <v>0</v>
      </c>
      <c r="F61" s="511">
        <f t="shared" si="7"/>
        <v>0</v>
      </c>
      <c r="G61" s="524">
        <f t="shared" si="8"/>
        <v>0</v>
      </c>
      <c r="H61" s="478">
        <f t="shared" si="9"/>
        <v>0</v>
      </c>
      <c r="I61" s="501">
        <f t="shared" si="1"/>
        <v>0</v>
      </c>
      <c r="J61" s="501"/>
      <c r="K61" s="513"/>
      <c r="L61" s="505">
        <f t="shared" si="2"/>
        <v>0</v>
      </c>
      <c r="M61" s="513"/>
      <c r="N61" s="505">
        <f t="shared" si="3"/>
        <v>0</v>
      </c>
      <c r="O61" s="505">
        <f t="shared" si="4"/>
        <v>0</v>
      </c>
      <c r="P61" s="279"/>
    </row>
    <row r="62" spans="2:16" ht="12.5">
      <c r="B62" s="145" t="str">
        <f t="shared" si="0"/>
        <v/>
      </c>
      <c r="C62" s="496">
        <f>IF(D11="","-",+C61+1)</f>
        <v>2063</v>
      </c>
      <c r="D62" s="509">
        <f>IF(F61+SUM(E$17:E61)=D$10,F61,D$10-SUM(E$17:E61))</f>
        <v>0</v>
      </c>
      <c r="E62" s="510">
        <f t="shared" si="6"/>
        <v>0</v>
      </c>
      <c r="F62" s="511">
        <f t="shared" si="7"/>
        <v>0</v>
      </c>
      <c r="G62" s="524">
        <f t="shared" si="8"/>
        <v>0</v>
      </c>
      <c r="H62" s="478">
        <f t="shared" si="9"/>
        <v>0</v>
      </c>
      <c r="I62" s="501">
        <f t="shared" si="1"/>
        <v>0</v>
      </c>
      <c r="J62" s="501"/>
      <c r="K62" s="513"/>
      <c r="L62" s="505">
        <f t="shared" si="2"/>
        <v>0</v>
      </c>
      <c r="M62" s="513"/>
      <c r="N62" s="505">
        <f t="shared" si="3"/>
        <v>0</v>
      </c>
      <c r="O62" s="505">
        <f t="shared" si="4"/>
        <v>0</v>
      </c>
      <c r="P62" s="279"/>
    </row>
    <row r="63" spans="2:16" ht="12.5">
      <c r="B63" s="145" t="str">
        <f t="shared" si="0"/>
        <v/>
      </c>
      <c r="C63" s="496">
        <f>IF(D11="","-",+C62+1)</f>
        <v>2064</v>
      </c>
      <c r="D63" s="509">
        <f>IF(F62+SUM(E$17:E62)=D$10,F62,D$10-SUM(E$17:E62))</f>
        <v>0</v>
      </c>
      <c r="E63" s="510">
        <f t="shared" si="6"/>
        <v>0</v>
      </c>
      <c r="F63" s="511">
        <f t="shared" si="7"/>
        <v>0</v>
      </c>
      <c r="G63" s="524">
        <f t="shared" si="8"/>
        <v>0</v>
      </c>
      <c r="H63" s="478">
        <f t="shared" si="9"/>
        <v>0</v>
      </c>
      <c r="I63" s="501">
        <f t="shared" si="1"/>
        <v>0</v>
      </c>
      <c r="J63" s="501"/>
      <c r="K63" s="513"/>
      <c r="L63" s="505">
        <f t="shared" si="2"/>
        <v>0</v>
      </c>
      <c r="M63" s="513"/>
      <c r="N63" s="505">
        <f t="shared" si="3"/>
        <v>0</v>
      </c>
      <c r="O63" s="505">
        <f t="shared" si="4"/>
        <v>0</v>
      </c>
      <c r="P63" s="279"/>
    </row>
    <row r="64" spans="2:16" ht="12.5">
      <c r="B64" s="145" t="str">
        <f t="shared" si="0"/>
        <v/>
      </c>
      <c r="C64" s="496">
        <f>IF(D11="","-",+C63+1)</f>
        <v>2065</v>
      </c>
      <c r="D64" s="509">
        <f>IF(F63+SUM(E$17:E63)=D$10,F63,D$10-SUM(E$17:E63))</f>
        <v>0</v>
      </c>
      <c r="E64" s="510">
        <f t="shared" si="6"/>
        <v>0</v>
      </c>
      <c r="F64" s="511">
        <f t="shared" si="7"/>
        <v>0</v>
      </c>
      <c r="G64" s="524">
        <f t="shared" si="8"/>
        <v>0</v>
      </c>
      <c r="H64" s="478">
        <f t="shared" si="9"/>
        <v>0</v>
      </c>
      <c r="I64" s="501">
        <f t="shared" si="1"/>
        <v>0</v>
      </c>
      <c r="J64" s="501"/>
      <c r="K64" s="513"/>
      <c r="L64" s="505">
        <f t="shared" si="2"/>
        <v>0</v>
      </c>
      <c r="M64" s="513"/>
      <c r="N64" s="505">
        <f t="shared" si="3"/>
        <v>0</v>
      </c>
      <c r="O64" s="505">
        <f t="shared" si="4"/>
        <v>0</v>
      </c>
      <c r="P64" s="279"/>
    </row>
    <row r="65" spans="2:16" ht="12.5">
      <c r="B65" s="145" t="str">
        <f t="shared" si="0"/>
        <v/>
      </c>
      <c r="C65" s="496">
        <f>IF(D11="","-",+C64+1)</f>
        <v>2066</v>
      </c>
      <c r="D65" s="509">
        <f>IF(F64+SUM(E$17:E64)=D$10,F64,D$10-SUM(E$17:E64))</f>
        <v>0</v>
      </c>
      <c r="E65" s="510">
        <f t="shared" si="6"/>
        <v>0</v>
      </c>
      <c r="F65" s="511">
        <f t="shared" si="7"/>
        <v>0</v>
      </c>
      <c r="G65" s="524">
        <f t="shared" si="8"/>
        <v>0</v>
      </c>
      <c r="H65" s="478">
        <f t="shared" si="9"/>
        <v>0</v>
      </c>
      <c r="I65" s="501">
        <f t="shared" si="1"/>
        <v>0</v>
      </c>
      <c r="J65" s="501"/>
      <c r="K65" s="513"/>
      <c r="L65" s="505">
        <f t="shared" si="2"/>
        <v>0</v>
      </c>
      <c r="M65" s="513"/>
      <c r="N65" s="505">
        <f t="shared" si="3"/>
        <v>0</v>
      </c>
      <c r="O65" s="505">
        <f t="shared" si="4"/>
        <v>0</v>
      </c>
      <c r="P65" s="279"/>
    </row>
    <row r="66" spans="2:16" ht="12.5">
      <c r="B66" s="145" t="str">
        <f t="shared" si="0"/>
        <v/>
      </c>
      <c r="C66" s="496">
        <f>IF(D11="","-",+C65+1)</f>
        <v>2067</v>
      </c>
      <c r="D66" s="509">
        <f>IF(F65+SUM(E$17:E65)=D$10,F65,D$10-SUM(E$17:E65))</f>
        <v>0</v>
      </c>
      <c r="E66" s="510">
        <f t="shared" si="6"/>
        <v>0</v>
      </c>
      <c r="F66" s="511">
        <f t="shared" si="7"/>
        <v>0</v>
      </c>
      <c r="G66" s="524">
        <f t="shared" si="8"/>
        <v>0</v>
      </c>
      <c r="H66" s="478">
        <f t="shared" si="9"/>
        <v>0</v>
      </c>
      <c r="I66" s="501">
        <f t="shared" si="1"/>
        <v>0</v>
      </c>
      <c r="J66" s="501"/>
      <c r="K66" s="513"/>
      <c r="L66" s="505">
        <f t="shared" si="2"/>
        <v>0</v>
      </c>
      <c r="M66" s="513"/>
      <c r="N66" s="505">
        <f t="shared" si="3"/>
        <v>0</v>
      </c>
      <c r="O66" s="505">
        <f t="shared" si="4"/>
        <v>0</v>
      </c>
      <c r="P66" s="279"/>
    </row>
    <row r="67" spans="2:16" ht="12.5">
      <c r="B67" s="145" t="str">
        <f t="shared" si="0"/>
        <v/>
      </c>
      <c r="C67" s="496">
        <f>IF(D11="","-",+C66+1)</f>
        <v>2068</v>
      </c>
      <c r="D67" s="509">
        <f>IF(F66+SUM(E$17:E66)=D$10,F66,D$10-SUM(E$17:E66))</f>
        <v>0</v>
      </c>
      <c r="E67" s="510">
        <f t="shared" si="6"/>
        <v>0</v>
      </c>
      <c r="F67" s="511">
        <f t="shared" si="7"/>
        <v>0</v>
      </c>
      <c r="G67" s="524">
        <f t="shared" si="8"/>
        <v>0</v>
      </c>
      <c r="H67" s="478">
        <f t="shared" si="9"/>
        <v>0</v>
      </c>
      <c r="I67" s="501">
        <f t="shared" si="1"/>
        <v>0</v>
      </c>
      <c r="J67" s="501"/>
      <c r="K67" s="513"/>
      <c r="L67" s="505">
        <f t="shared" si="2"/>
        <v>0</v>
      </c>
      <c r="M67" s="513"/>
      <c r="N67" s="505">
        <f t="shared" si="3"/>
        <v>0</v>
      </c>
      <c r="O67" s="505">
        <f t="shared" si="4"/>
        <v>0</v>
      </c>
      <c r="P67" s="279"/>
    </row>
    <row r="68" spans="2:16" ht="12.5">
      <c r="B68" s="145" t="str">
        <f t="shared" si="0"/>
        <v/>
      </c>
      <c r="C68" s="496">
        <f>IF(D11="","-",+C67+1)</f>
        <v>2069</v>
      </c>
      <c r="D68" s="509">
        <f>IF(F67+SUM(E$17:E67)=D$10,F67,D$10-SUM(E$17:E67))</f>
        <v>0</v>
      </c>
      <c r="E68" s="510">
        <f t="shared" si="6"/>
        <v>0</v>
      </c>
      <c r="F68" s="511">
        <f t="shared" si="7"/>
        <v>0</v>
      </c>
      <c r="G68" s="524">
        <f t="shared" si="8"/>
        <v>0</v>
      </c>
      <c r="H68" s="478">
        <f t="shared" si="9"/>
        <v>0</v>
      </c>
      <c r="I68" s="501">
        <f t="shared" si="1"/>
        <v>0</v>
      </c>
      <c r="J68" s="501"/>
      <c r="K68" s="513"/>
      <c r="L68" s="505">
        <f t="shared" si="2"/>
        <v>0</v>
      </c>
      <c r="M68" s="513"/>
      <c r="N68" s="505">
        <f t="shared" si="3"/>
        <v>0</v>
      </c>
      <c r="O68" s="505">
        <f t="shared" si="4"/>
        <v>0</v>
      </c>
      <c r="P68" s="279"/>
    </row>
    <row r="69" spans="2:16" ht="12.5">
      <c r="B69" s="145" t="str">
        <f t="shared" si="0"/>
        <v/>
      </c>
      <c r="C69" s="496">
        <f>IF(D11="","-",+C68+1)</f>
        <v>2070</v>
      </c>
      <c r="D69" s="509">
        <f>IF(F68+SUM(E$17:E68)=D$10,F68,D$10-SUM(E$17:E68))</f>
        <v>0</v>
      </c>
      <c r="E69" s="510">
        <f t="shared" si="6"/>
        <v>0</v>
      </c>
      <c r="F69" s="511">
        <f t="shared" si="7"/>
        <v>0</v>
      </c>
      <c r="G69" s="524">
        <f t="shared" si="8"/>
        <v>0</v>
      </c>
      <c r="H69" s="478">
        <f t="shared" si="9"/>
        <v>0</v>
      </c>
      <c r="I69" s="501">
        <f t="shared" si="1"/>
        <v>0</v>
      </c>
      <c r="J69" s="501"/>
      <c r="K69" s="513"/>
      <c r="L69" s="505">
        <f t="shared" si="2"/>
        <v>0</v>
      </c>
      <c r="M69" s="513"/>
      <c r="N69" s="505">
        <f t="shared" si="3"/>
        <v>0</v>
      </c>
      <c r="O69" s="505">
        <f t="shared" si="4"/>
        <v>0</v>
      </c>
      <c r="P69" s="279"/>
    </row>
    <row r="70" spans="2:16" ht="12.5">
      <c r="B70" s="145" t="str">
        <f t="shared" si="0"/>
        <v/>
      </c>
      <c r="C70" s="496">
        <f>IF(D11="","-",+C69+1)</f>
        <v>2071</v>
      </c>
      <c r="D70" s="509">
        <f>IF(F69+SUM(E$17:E69)=D$10,F69,D$10-SUM(E$17:E69))</f>
        <v>0</v>
      </c>
      <c r="E70" s="510">
        <f t="shared" si="6"/>
        <v>0</v>
      </c>
      <c r="F70" s="511">
        <f t="shared" si="7"/>
        <v>0</v>
      </c>
      <c r="G70" s="524">
        <f t="shared" si="8"/>
        <v>0</v>
      </c>
      <c r="H70" s="478">
        <f t="shared" si="9"/>
        <v>0</v>
      </c>
      <c r="I70" s="501">
        <f t="shared" si="1"/>
        <v>0</v>
      </c>
      <c r="J70" s="501"/>
      <c r="K70" s="513"/>
      <c r="L70" s="505">
        <f t="shared" si="2"/>
        <v>0</v>
      </c>
      <c r="M70" s="513"/>
      <c r="N70" s="505">
        <f t="shared" si="3"/>
        <v>0</v>
      </c>
      <c r="O70" s="505">
        <f t="shared" si="4"/>
        <v>0</v>
      </c>
      <c r="P70" s="279"/>
    </row>
    <row r="71" spans="2:16" ht="12.5">
      <c r="B71" s="145" t="str">
        <f t="shared" si="0"/>
        <v/>
      </c>
      <c r="C71" s="496">
        <f>IF(D11="","-",+C70+1)</f>
        <v>2072</v>
      </c>
      <c r="D71" s="509">
        <f>IF(F70+SUM(E$17:E70)=D$10,F70,D$10-SUM(E$17:E70))</f>
        <v>0</v>
      </c>
      <c r="E71" s="510">
        <f t="shared" si="6"/>
        <v>0</v>
      </c>
      <c r="F71" s="511">
        <f t="shared" si="7"/>
        <v>0</v>
      </c>
      <c r="G71" s="524">
        <f t="shared" si="8"/>
        <v>0</v>
      </c>
      <c r="H71" s="478">
        <f t="shared" si="9"/>
        <v>0</v>
      </c>
      <c r="I71" s="501">
        <f t="shared" si="1"/>
        <v>0</v>
      </c>
      <c r="J71" s="501"/>
      <c r="K71" s="513"/>
      <c r="L71" s="505">
        <f t="shared" si="2"/>
        <v>0</v>
      </c>
      <c r="M71" s="513"/>
      <c r="N71" s="505">
        <f t="shared" si="3"/>
        <v>0</v>
      </c>
      <c r="O71" s="505">
        <f t="shared" si="4"/>
        <v>0</v>
      </c>
      <c r="P71" s="279"/>
    </row>
    <row r="72" spans="2:16" ht="12.5">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17092177</v>
      </c>
      <c r="F74" s="295"/>
      <c r="G74" s="295">
        <f>SUM(G17:G73)</f>
        <v>48421576.48502937</v>
      </c>
      <c r="H74" s="295">
        <f>SUM(H17:H73)</f>
        <v>48421576.48502937</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18 of 20</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2020</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2056569.1179354885</v>
      </c>
      <c r="N88" s="545">
        <f>IF(J93&lt;D11,0,VLOOKUP(J93,C17:O73,11))</f>
        <v>2056569.1179354885</v>
      </c>
      <c r="O88" s="546">
        <f>+N88-M88</f>
        <v>0</v>
      </c>
      <c r="P88" s="244"/>
    </row>
    <row r="89" spans="1:16" ht="15.5">
      <c r="C89" s="236"/>
      <c r="D89" s="293"/>
      <c r="E89" s="244"/>
      <c r="F89" s="244"/>
      <c r="G89" s="244"/>
      <c r="H89" s="244"/>
      <c r="I89" s="450"/>
      <c r="J89" s="450"/>
      <c r="K89" s="547"/>
      <c r="L89" s="548" t="s">
        <v>254</v>
      </c>
      <c r="M89" s="549">
        <f>IF(J93&lt;D11,0,VLOOKUP(J93,C100:P155,6))</f>
        <v>2295454.5775651671</v>
      </c>
      <c r="N89" s="549">
        <f>IF(J93&lt;D11,0,VLOOKUP(J93,C100:P155,7))</f>
        <v>2295454.5775651671</v>
      </c>
      <c r="O89" s="550">
        <f>+N89-M89</f>
        <v>0</v>
      </c>
      <c r="P89" s="244"/>
    </row>
    <row r="90" spans="1:16" ht="13.5" thickBot="1">
      <c r="C90" s="455" t="s">
        <v>82</v>
      </c>
      <c r="D90" s="551" t="str">
        <f>+D7</f>
        <v>Fort Towson-Valliant 69 KV Line Rebuild</v>
      </c>
      <c r="E90" s="244"/>
      <c r="F90" s="244"/>
      <c r="G90" s="244"/>
      <c r="H90" s="244"/>
      <c r="I90" s="326"/>
      <c r="J90" s="326"/>
      <c r="K90" s="552"/>
      <c r="L90" s="553" t="s">
        <v>135</v>
      </c>
      <c r="M90" s="554">
        <f>+M89-M88</f>
        <v>238885.45962967863</v>
      </c>
      <c r="N90" s="554">
        <f>+N89-N88</f>
        <v>238885.45962967863</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TP2015204</v>
      </c>
      <c r="E92" s="559"/>
      <c r="F92" s="559"/>
      <c r="G92" s="559"/>
      <c r="H92" s="559"/>
      <c r="I92" s="559"/>
      <c r="J92" s="559"/>
      <c r="K92" s="561"/>
      <c r="P92" s="469"/>
    </row>
    <row r="93" spans="1:16" ht="13">
      <c r="C93" s="473" t="s">
        <v>49</v>
      </c>
      <c r="D93" s="475">
        <v>17093280</v>
      </c>
      <c r="E93" s="249" t="s">
        <v>84</v>
      </c>
      <c r="H93" s="409"/>
      <c r="I93" s="409"/>
      <c r="J93" s="472">
        <f>+'OKT.WS.G.BPU.ATRR.True-up'!M16</f>
        <v>2020</v>
      </c>
      <c r="K93" s="468"/>
      <c r="L93" s="295" t="s">
        <v>85</v>
      </c>
      <c r="P93" s="279"/>
    </row>
    <row r="94" spans="1:16" ht="12.5">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12</v>
      </c>
      <c r="E95" s="473" t="s">
        <v>55</v>
      </c>
      <c r="F95" s="409"/>
      <c r="G95" s="409"/>
      <c r="J95" s="477">
        <f>'OKT.WS.G.BPU.ATRR.True-up'!$F$81</f>
        <v>0.10641349897030054</v>
      </c>
      <c r="K95" s="414"/>
      <c r="L95" s="145" t="s">
        <v>86</v>
      </c>
      <c r="P95" s="279"/>
    </row>
    <row r="96" spans="1:16" ht="12.5">
      <c r="C96" s="473" t="s">
        <v>57</v>
      </c>
      <c r="D96" s="475">
        <f>'OKT.WS.G.BPU.ATRR.True-up'!F$93</f>
        <v>28</v>
      </c>
      <c r="E96" s="473" t="s">
        <v>58</v>
      </c>
      <c r="F96" s="409"/>
      <c r="G96" s="409"/>
      <c r="J96" s="477">
        <f>IF(H88="",J95,'OKT.WS.G.BPU.ATRR.True-up'!$F$80)</f>
        <v>0.10641349897030054</v>
      </c>
      <c r="K96" s="292"/>
      <c r="L96" s="295" t="s">
        <v>59</v>
      </c>
      <c r="M96" s="292"/>
      <c r="N96" s="292"/>
      <c r="O96" s="292"/>
      <c r="P96" s="279"/>
    </row>
    <row r="97" spans="1:16" ht="13" thickBot="1">
      <c r="C97" s="473" t="s">
        <v>60</v>
      </c>
      <c r="D97" s="563" t="str">
        <f>+D14</f>
        <v>No</v>
      </c>
      <c r="E97" s="564" t="s">
        <v>62</v>
      </c>
      <c r="F97" s="565"/>
      <c r="G97" s="565"/>
      <c r="H97" s="566"/>
      <c r="I97" s="566"/>
      <c r="J97" s="459">
        <f>IF(D93=0,0,D93/D96)</f>
        <v>610474.28571428568</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0">IF(D100=F99,"","IU")</f>
        <v>IU</v>
      </c>
      <c r="C100" s="496">
        <f>IF(D94= "","-",D94)</f>
        <v>2018</v>
      </c>
      <c r="D100" s="497">
        <v>15445577.166666666</v>
      </c>
      <c r="E100" s="499">
        <v>435826.05555555556</v>
      </c>
      <c r="F100" s="506">
        <v>15009751.11111111</v>
      </c>
      <c r="G100" s="506">
        <v>15227664.138888888</v>
      </c>
      <c r="H100" s="499">
        <v>2043295.5761149421</v>
      </c>
      <c r="I100" s="500">
        <v>2043295.5761149421</v>
      </c>
      <c r="J100" s="505">
        <f t="shared" ref="J100:J131" si="11">+I100-H100</f>
        <v>0</v>
      </c>
      <c r="K100" s="505"/>
      <c r="L100" s="507">
        <f>+H100</f>
        <v>2043295.5761149421</v>
      </c>
      <c r="M100" s="505">
        <f t="shared" ref="M100" si="12">IF(L100&lt;&gt;0,+H100-L100,0)</f>
        <v>0</v>
      </c>
      <c r="N100" s="507">
        <f>+I100</f>
        <v>2043295.5761149421</v>
      </c>
      <c r="O100" s="587">
        <f t="shared" ref="O100" si="13">IF(N100&lt;&gt;0,+I100-N100,0)</f>
        <v>0</v>
      </c>
      <c r="P100" s="505">
        <f t="shared" ref="P100" si="14">+O100-M100</f>
        <v>0</v>
      </c>
    </row>
    <row r="101" spans="1:16" ht="12.5">
      <c r="B101" s="145" t="str">
        <f t="shared" si="10"/>
        <v>IU</v>
      </c>
      <c r="C101" s="496">
        <f>IF(D94="","-",+C100+1)</f>
        <v>2019</v>
      </c>
      <c r="D101" s="497">
        <v>16656350.944444444</v>
      </c>
      <c r="E101" s="499">
        <v>517944.75757575757</v>
      </c>
      <c r="F101" s="506">
        <v>16138406.186868686</v>
      </c>
      <c r="G101" s="506">
        <v>16397378.565656565</v>
      </c>
      <c r="H101" s="499">
        <v>2289012.9236645</v>
      </c>
      <c r="I101" s="500">
        <v>2289012.9236645</v>
      </c>
      <c r="J101" s="505">
        <f t="shared" si="11"/>
        <v>0</v>
      </c>
      <c r="K101" s="505"/>
      <c r="L101" s="507">
        <f>H101</f>
        <v>2289012.9236645</v>
      </c>
      <c r="M101" s="505">
        <f>IF(L101&lt;&gt;0,+H101-L101,0)</f>
        <v>0</v>
      </c>
      <c r="N101" s="507">
        <f>I101</f>
        <v>2289012.9236645</v>
      </c>
      <c r="O101" s="505">
        <f t="shared" ref="O101:O131" si="15">IF(N101&lt;&gt;0,+I101-N101,0)</f>
        <v>0</v>
      </c>
      <c r="P101" s="505">
        <f t="shared" ref="P101:P131" si="16">+O101-M101</f>
        <v>0</v>
      </c>
    </row>
    <row r="102" spans="1:16" ht="12.5">
      <c r="B102" s="145" t="str">
        <f t="shared" si="10"/>
        <v>IU</v>
      </c>
      <c r="C102" s="496">
        <f>IF(D94="","-",+C101+1)</f>
        <v>2020</v>
      </c>
      <c r="D102" s="350">
        <f>IF(F101+SUM(E$100:E101)=D$93,F101,D$93-SUM(E$100:E101))</f>
        <v>16139509.186868686</v>
      </c>
      <c r="E102" s="510">
        <f t="shared" ref="E102:E155" si="17">IF(+J$97&lt;F101,J$97,D102)</f>
        <v>610474.28571428568</v>
      </c>
      <c r="F102" s="511">
        <f t="shared" ref="F102:F155" si="18">+D102-E102</f>
        <v>15529034.901154401</v>
      </c>
      <c r="G102" s="511">
        <f t="shared" ref="G102:G155" si="19">+(F102+D102)/2</f>
        <v>15834272.044011544</v>
      </c>
      <c r="H102" s="646">
        <f t="shared" ref="H102:H155" si="20">(D102+F102)/2*J$95+E102</f>
        <v>2295454.5775651671</v>
      </c>
      <c r="I102" s="628">
        <f t="shared" ref="I102:I155" si="21">+J$96*G102+E102</f>
        <v>2295454.5775651671</v>
      </c>
      <c r="J102" s="505">
        <f t="shared" si="11"/>
        <v>0</v>
      </c>
      <c r="K102" s="505"/>
      <c r="L102" s="513"/>
      <c r="M102" s="505">
        <f t="shared" ref="M102:M131" si="22">IF(L102&lt;&gt;0,+H102-L102,0)</f>
        <v>0</v>
      </c>
      <c r="N102" s="513"/>
      <c r="O102" s="505">
        <f t="shared" si="15"/>
        <v>0</v>
      </c>
      <c r="P102" s="505">
        <f t="shared" si="16"/>
        <v>0</v>
      </c>
    </row>
    <row r="103" spans="1:16" ht="12.5">
      <c r="B103" s="145" t="str">
        <f t="shared" si="10"/>
        <v/>
      </c>
      <c r="C103" s="496">
        <f>IF(D94="","-",+C102+1)</f>
        <v>2021</v>
      </c>
      <c r="D103" s="350">
        <f>IF(F102+SUM(E$100:E102)=D$93,F102,D$93-SUM(E$100:E102))</f>
        <v>15529034.901154401</v>
      </c>
      <c r="E103" s="510">
        <f t="shared" si="17"/>
        <v>610474.28571428568</v>
      </c>
      <c r="F103" s="511">
        <f t="shared" si="18"/>
        <v>14918560.615440115</v>
      </c>
      <c r="G103" s="511">
        <f t="shared" si="19"/>
        <v>15223797.758297257</v>
      </c>
      <c r="H103" s="646">
        <f t="shared" si="20"/>
        <v>2230491.8727909145</v>
      </c>
      <c r="I103" s="628">
        <f t="shared" si="21"/>
        <v>2230491.8727909145</v>
      </c>
      <c r="J103" s="505">
        <f t="shared" si="11"/>
        <v>0</v>
      </c>
      <c r="K103" s="505"/>
      <c r="L103" s="513"/>
      <c r="M103" s="505">
        <f t="shared" si="22"/>
        <v>0</v>
      </c>
      <c r="N103" s="513"/>
      <c r="O103" s="505">
        <f t="shared" si="15"/>
        <v>0</v>
      </c>
      <c r="P103" s="505">
        <f t="shared" si="16"/>
        <v>0</v>
      </c>
    </row>
    <row r="104" spans="1:16" ht="12.5">
      <c r="B104" s="145" t="str">
        <f t="shared" si="10"/>
        <v/>
      </c>
      <c r="C104" s="496">
        <f>IF(D94="","-",+C103+1)</f>
        <v>2022</v>
      </c>
      <c r="D104" s="350">
        <f>IF(F103+SUM(E$100:E103)=D$93,F103,D$93-SUM(E$100:E103))</f>
        <v>14918560.615440115</v>
      </c>
      <c r="E104" s="510">
        <f t="shared" si="17"/>
        <v>610474.28571428568</v>
      </c>
      <c r="F104" s="511">
        <f t="shared" si="18"/>
        <v>14308086.32972583</v>
      </c>
      <c r="G104" s="511">
        <f t="shared" si="19"/>
        <v>14613323.472582974</v>
      </c>
      <c r="H104" s="646">
        <f t="shared" si="20"/>
        <v>2165529.1680166628</v>
      </c>
      <c r="I104" s="628">
        <f t="shared" si="21"/>
        <v>2165529.1680166628</v>
      </c>
      <c r="J104" s="505">
        <f t="shared" si="11"/>
        <v>0</v>
      </c>
      <c r="K104" s="505"/>
      <c r="L104" s="513"/>
      <c r="M104" s="505">
        <f t="shared" si="22"/>
        <v>0</v>
      </c>
      <c r="N104" s="513"/>
      <c r="O104" s="505">
        <f t="shared" si="15"/>
        <v>0</v>
      </c>
      <c r="P104" s="505">
        <f t="shared" si="16"/>
        <v>0</v>
      </c>
    </row>
    <row r="105" spans="1:16" ht="12.5">
      <c r="B105" s="145" t="str">
        <f t="shared" si="10"/>
        <v/>
      </c>
      <c r="C105" s="496">
        <f>IF(D94="","-",+C104+1)</f>
        <v>2023</v>
      </c>
      <c r="D105" s="350">
        <f>IF(F104+SUM(E$100:E104)=D$93,F104,D$93-SUM(E$100:E104))</f>
        <v>14308086.32972583</v>
      </c>
      <c r="E105" s="510">
        <f t="shared" si="17"/>
        <v>610474.28571428568</v>
      </c>
      <c r="F105" s="511">
        <f t="shared" si="18"/>
        <v>13697612.044011544</v>
      </c>
      <c r="G105" s="511">
        <f t="shared" si="19"/>
        <v>14002849.186868686</v>
      </c>
      <c r="H105" s="646">
        <f t="shared" si="20"/>
        <v>2100566.4632424107</v>
      </c>
      <c r="I105" s="628">
        <f t="shared" si="21"/>
        <v>2100566.4632424107</v>
      </c>
      <c r="J105" s="505">
        <f t="shared" si="11"/>
        <v>0</v>
      </c>
      <c r="K105" s="505"/>
      <c r="L105" s="513"/>
      <c r="M105" s="505">
        <f t="shared" si="22"/>
        <v>0</v>
      </c>
      <c r="N105" s="513"/>
      <c r="O105" s="505">
        <f t="shared" si="15"/>
        <v>0</v>
      </c>
      <c r="P105" s="505">
        <f t="shared" si="16"/>
        <v>0</v>
      </c>
    </row>
    <row r="106" spans="1:16" ht="12.5">
      <c r="B106" s="145" t="str">
        <f t="shared" si="10"/>
        <v/>
      </c>
      <c r="C106" s="496">
        <f>IF(D94="","-",+C105+1)</f>
        <v>2024</v>
      </c>
      <c r="D106" s="350">
        <f>IF(F105+SUM(E$100:E105)=D$93,F105,D$93-SUM(E$100:E105))</f>
        <v>13697612.044011544</v>
      </c>
      <c r="E106" s="510">
        <f t="shared" si="17"/>
        <v>610474.28571428568</v>
      </c>
      <c r="F106" s="511">
        <f t="shared" si="18"/>
        <v>13087137.758297259</v>
      </c>
      <c r="G106" s="511">
        <f t="shared" si="19"/>
        <v>13392374.901154403</v>
      </c>
      <c r="H106" s="646">
        <f t="shared" si="20"/>
        <v>2035603.7584681585</v>
      </c>
      <c r="I106" s="628">
        <f t="shared" si="21"/>
        <v>2035603.7584681585</v>
      </c>
      <c r="J106" s="505">
        <f t="shared" si="11"/>
        <v>0</v>
      </c>
      <c r="K106" s="505"/>
      <c r="L106" s="513"/>
      <c r="M106" s="505">
        <f t="shared" si="22"/>
        <v>0</v>
      </c>
      <c r="N106" s="513"/>
      <c r="O106" s="505">
        <f t="shared" si="15"/>
        <v>0</v>
      </c>
      <c r="P106" s="505">
        <f t="shared" si="16"/>
        <v>0</v>
      </c>
    </row>
    <row r="107" spans="1:16" ht="12.5">
      <c r="B107" s="145" t="str">
        <f t="shared" si="10"/>
        <v/>
      </c>
      <c r="C107" s="496">
        <f>IF(D94="","-",+C106+1)</f>
        <v>2025</v>
      </c>
      <c r="D107" s="350">
        <f>IF(F106+SUM(E$100:E106)=D$93,F106,D$93-SUM(E$100:E106))</f>
        <v>13087137.758297259</v>
      </c>
      <c r="E107" s="510">
        <f t="shared" si="17"/>
        <v>610474.28571428568</v>
      </c>
      <c r="F107" s="511">
        <f t="shared" si="18"/>
        <v>12476663.472582974</v>
      </c>
      <c r="G107" s="511">
        <f t="shared" si="19"/>
        <v>12781900.615440115</v>
      </c>
      <c r="H107" s="646">
        <f t="shared" si="20"/>
        <v>1970641.0536939062</v>
      </c>
      <c r="I107" s="628">
        <f t="shared" si="21"/>
        <v>1970641.0536939062</v>
      </c>
      <c r="J107" s="505">
        <f t="shared" si="11"/>
        <v>0</v>
      </c>
      <c r="K107" s="505"/>
      <c r="L107" s="513"/>
      <c r="M107" s="505">
        <f t="shared" si="22"/>
        <v>0</v>
      </c>
      <c r="N107" s="513"/>
      <c r="O107" s="505">
        <f t="shared" si="15"/>
        <v>0</v>
      </c>
      <c r="P107" s="505">
        <f t="shared" si="16"/>
        <v>0</v>
      </c>
    </row>
    <row r="108" spans="1:16" ht="12.5">
      <c r="B108" s="145" t="str">
        <f t="shared" si="10"/>
        <v/>
      </c>
      <c r="C108" s="496">
        <f>IF(D94="","-",+C107+1)</f>
        <v>2026</v>
      </c>
      <c r="D108" s="350">
        <f>IF(F107+SUM(E$100:E107)=D$93,F107,D$93-SUM(E$100:E107))</f>
        <v>12476663.472582974</v>
      </c>
      <c r="E108" s="510">
        <f t="shared" si="17"/>
        <v>610474.28571428568</v>
      </c>
      <c r="F108" s="511">
        <f t="shared" si="18"/>
        <v>11866189.186868688</v>
      </c>
      <c r="G108" s="511">
        <f t="shared" si="19"/>
        <v>12171426.329725832</v>
      </c>
      <c r="H108" s="646">
        <f t="shared" si="20"/>
        <v>1905678.3489196545</v>
      </c>
      <c r="I108" s="628">
        <f t="shared" si="21"/>
        <v>1905678.3489196545</v>
      </c>
      <c r="J108" s="505">
        <f t="shared" si="11"/>
        <v>0</v>
      </c>
      <c r="K108" s="505"/>
      <c r="L108" s="513"/>
      <c r="M108" s="505">
        <f t="shared" si="22"/>
        <v>0</v>
      </c>
      <c r="N108" s="513"/>
      <c r="O108" s="505">
        <f t="shared" si="15"/>
        <v>0</v>
      </c>
      <c r="P108" s="505">
        <f t="shared" si="16"/>
        <v>0</v>
      </c>
    </row>
    <row r="109" spans="1:16" ht="12.5">
      <c r="B109" s="145" t="str">
        <f t="shared" si="10"/>
        <v/>
      </c>
      <c r="C109" s="496">
        <f>IF(D94="","-",+C108+1)</f>
        <v>2027</v>
      </c>
      <c r="D109" s="350">
        <f>IF(F108+SUM(E$100:E108)=D$93,F108,D$93-SUM(E$100:E108))</f>
        <v>11866189.186868688</v>
      </c>
      <c r="E109" s="510">
        <f t="shared" si="17"/>
        <v>610474.28571428568</v>
      </c>
      <c r="F109" s="511">
        <f t="shared" si="18"/>
        <v>11255714.901154403</v>
      </c>
      <c r="G109" s="511">
        <f t="shared" si="19"/>
        <v>11560952.044011544</v>
      </c>
      <c r="H109" s="646">
        <f t="shared" si="20"/>
        <v>1840715.6441454021</v>
      </c>
      <c r="I109" s="628">
        <f t="shared" si="21"/>
        <v>1840715.6441454021</v>
      </c>
      <c r="J109" s="505">
        <f t="shared" si="11"/>
        <v>0</v>
      </c>
      <c r="K109" s="505"/>
      <c r="L109" s="513"/>
      <c r="M109" s="505">
        <f t="shared" si="22"/>
        <v>0</v>
      </c>
      <c r="N109" s="513"/>
      <c r="O109" s="505">
        <f t="shared" si="15"/>
        <v>0</v>
      </c>
      <c r="P109" s="505">
        <f t="shared" si="16"/>
        <v>0</v>
      </c>
    </row>
    <row r="110" spans="1:16" ht="12.5">
      <c r="B110" s="145" t="str">
        <f t="shared" si="10"/>
        <v/>
      </c>
      <c r="C110" s="496">
        <f>IF(D94="","-",+C109+1)</f>
        <v>2028</v>
      </c>
      <c r="D110" s="350">
        <f>IF(F109+SUM(E$100:E109)=D$93,F109,D$93-SUM(E$100:E109))</f>
        <v>11255714.901154403</v>
      </c>
      <c r="E110" s="510">
        <f t="shared" si="17"/>
        <v>610474.28571428568</v>
      </c>
      <c r="F110" s="511">
        <f t="shared" si="18"/>
        <v>10645240.615440117</v>
      </c>
      <c r="G110" s="511">
        <f t="shared" si="19"/>
        <v>10950477.758297261</v>
      </c>
      <c r="H110" s="646">
        <f t="shared" si="20"/>
        <v>1775752.9393711502</v>
      </c>
      <c r="I110" s="628">
        <f t="shared" si="21"/>
        <v>1775752.9393711502</v>
      </c>
      <c r="J110" s="505">
        <f t="shared" si="11"/>
        <v>0</v>
      </c>
      <c r="K110" s="505"/>
      <c r="L110" s="513"/>
      <c r="M110" s="505">
        <f t="shared" si="22"/>
        <v>0</v>
      </c>
      <c r="N110" s="513"/>
      <c r="O110" s="505">
        <f t="shared" si="15"/>
        <v>0</v>
      </c>
      <c r="P110" s="505">
        <f t="shared" si="16"/>
        <v>0</v>
      </c>
    </row>
    <row r="111" spans="1:16" ht="12.5">
      <c r="B111" s="145" t="str">
        <f t="shared" si="10"/>
        <v/>
      </c>
      <c r="C111" s="496">
        <f>IF(D94="","-",+C110+1)</f>
        <v>2029</v>
      </c>
      <c r="D111" s="350">
        <f>IF(F110+SUM(E$100:E110)=D$93,F110,D$93-SUM(E$100:E110))</f>
        <v>10645240.615440117</v>
      </c>
      <c r="E111" s="510">
        <f t="shared" si="17"/>
        <v>610474.28571428568</v>
      </c>
      <c r="F111" s="511">
        <f t="shared" si="18"/>
        <v>10034766.329725832</v>
      </c>
      <c r="G111" s="511">
        <f t="shared" si="19"/>
        <v>10340003.472582974</v>
      </c>
      <c r="H111" s="646">
        <f t="shared" si="20"/>
        <v>1710790.2345968981</v>
      </c>
      <c r="I111" s="628">
        <f t="shared" si="21"/>
        <v>1710790.2345968981</v>
      </c>
      <c r="J111" s="505">
        <f t="shared" si="11"/>
        <v>0</v>
      </c>
      <c r="K111" s="505"/>
      <c r="L111" s="513"/>
      <c r="M111" s="505">
        <f t="shared" si="22"/>
        <v>0</v>
      </c>
      <c r="N111" s="513"/>
      <c r="O111" s="505">
        <f t="shared" si="15"/>
        <v>0</v>
      </c>
      <c r="P111" s="505">
        <f t="shared" si="16"/>
        <v>0</v>
      </c>
    </row>
    <row r="112" spans="1:16" ht="12.5">
      <c r="B112" s="145" t="str">
        <f t="shared" si="10"/>
        <v/>
      </c>
      <c r="C112" s="496">
        <f>IF(D94="","-",+C111+1)</f>
        <v>2030</v>
      </c>
      <c r="D112" s="350">
        <f>IF(F111+SUM(E$100:E111)=D$93,F111,D$93-SUM(E$100:E111))</f>
        <v>10034766.329725832</v>
      </c>
      <c r="E112" s="510">
        <f t="shared" si="17"/>
        <v>610474.28571428568</v>
      </c>
      <c r="F112" s="511">
        <f t="shared" si="18"/>
        <v>9424292.0440115463</v>
      </c>
      <c r="G112" s="511">
        <f t="shared" si="19"/>
        <v>9729529.18686869</v>
      </c>
      <c r="H112" s="646">
        <f t="shared" si="20"/>
        <v>1645827.5298226462</v>
      </c>
      <c r="I112" s="628">
        <f t="shared" si="21"/>
        <v>1645827.5298226462</v>
      </c>
      <c r="J112" s="505">
        <f t="shared" si="11"/>
        <v>0</v>
      </c>
      <c r="K112" s="505"/>
      <c r="L112" s="513"/>
      <c r="M112" s="505">
        <f t="shared" si="22"/>
        <v>0</v>
      </c>
      <c r="N112" s="513"/>
      <c r="O112" s="505">
        <f t="shared" si="15"/>
        <v>0</v>
      </c>
      <c r="P112" s="505">
        <f t="shared" si="16"/>
        <v>0</v>
      </c>
    </row>
    <row r="113" spans="2:16" ht="12.5">
      <c r="B113" s="145" t="str">
        <f t="shared" si="10"/>
        <v/>
      </c>
      <c r="C113" s="496">
        <f>IF(D94="","-",+C112+1)</f>
        <v>2031</v>
      </c>
      <c r="D113" s="350">
        <f>IF(F112+SUM(E$100:E112)=D$93,F112,D$93-SUM(E$100:E112))</f>
        <v>9424292.0440115463</v>
      </c>
      <c r="E113" s="510">
        <f t="shared" si="17"/>
        <v>610474.28571428568</v>
      </c>
      <c r="F113" s="511">
        <f t="shared" si="18"/>
        <v>8813817.7582972609</v>
      </c>
      <c r="G113" s="511">
        <f t="shared" si="19"/>
        <v>9119054.9011544026</v>
      </c>
      <c r="H113" s="646">
        <f t="shared" si="20"/>
        <v>1580864.8250483938</v>
      </c>
      <c r="I113" s="628">
        <f t="shared" si="21"/>
        <v>1580864.8250483938</v>
      </c>
      <c r="J113" s="505">
        <f t="shared" si="11"/>
        <v>0</v>
      </c>
      <c r="K113" s="505"/>
      <c r="L113" s="513"/>
      <c r="M113" s="505">
        <f t="shared" si="22"/>
        <v>0</v>
      </c>
      <c r="N113" s="513"/>
      <c r="O113" s="505">
        <f t="shared" si="15"/>
        <v>0</v>
      </c>
      <c r="P113" s="505">
        <f t="shared" si="16"/>
        <v>0</v>
      </c>
    </row>
    <row r="114" spans="2:16" ht="12.5">
      <c r="B114" s="145" t="str">
        <f t="shared" si="10"/>
        <v/>
      </c>
      <c r="C114" s="496">
        <f>IF(D94="","-",+C113+1)</f>
        <v>2032</v>
      </c>
      <c r="D114" s="350">
        <f>IF(F113+SUM(E$100:E113)=D$93,F113,D$93-SUM(E$100:E113))</f>
        <v>8813817.7582972609</v>
      </c>
      <c r="E114" s="510">
        <f t="shared" si="17"/>
        <v>610474.28571428568</v>
      </c>
      <c r="F114" s="511">
        <f t="shared" si="18"/>
        <v>8203343.4725829754</v>
      </c>
      <c r="G114" s="511">
        <f t="shared" si="19"/>
        <v>8508580.6154401191</v>
      </c>
      <c r="H114" s="646">
        <f t="shared" si="20"/>
        <v>1515902.1202741419</v>
      </c>
      <c r="I114" s="628">
        <f t="shared" si="21"/>
        <v>1515902.1202741419</v>
      </c>
      <c r="J114" s="505">
        <f t="shared" si="11"/>
        <v>0</v>
      </c>
      <c r="K114" s="505"/>
      <c r="L114" s="513"/>
      <c r="M114" s="505">
        <f t="shared" si="22"/>
        <v>0</v>
      </c>
      <c r="N114" s="513"/>
      <c r="O114" s="505">
        <f t="shared" si="15"/>
        <v>0</v>
      </c>
      <c r="P114" s="505">
        <f t="shared" si="16"/>
        <v>0</v>
      </c>
    </row>
    <row r="115" spans="2:16" ht="12.5">
      <c r="B115" s="145" t="str">
        <f t="shared" si="10"/>
        <v/>
      </c>
      <c r="C115" s="496">
        <f>IF(D94="","-",+C114+1)</f>
        <v>2033</v>
      </c>
      <c r="D115" s="350">
        <f>IF(F114+SUM(E$100:E114)=D$93,F114,D$93-SUM(E$100:E114))</f>
        <v>8203343.4725829754</v>
      </c>
      <c r="E115" s="510">
        <f t="shared" si="17"/>
        <v>610474.28571428568</v>
      </c>
      <c r="F115" s="511">
        <f t="shared" si="18"/>
        <v>7592869.18686869</v>
      </c>
      <c r="G115" s="511">
        <f t="shared" si="19"/>
        <v>7898106.3297258327</v>
      </c>
      <c r="H115" s="646">
        <f t="shared" si="20"/>
        <v>1450939.4154998898</v>
      </c>
      <c r="I115" s="628">
        <f t="shared" si="21"/>
        <v>1450939.4154998898</v>
      </c>
      <c r="J115" s="505">
        <f t="shared" si="11"/>
        <v>0</v>
      </c>
      <c r="K115" s="505"/>
      <c r="L115" s="513"/>
      <c r="M115" s="505">
        <f t="shared" si="22"/>
        <v>0</v>
      </c>
      <c r="N115" s="513"/>
      <c r="O115" s="505">
        <f t="shared" si="15"/>
        <v>0</v>
      </c>
      <c r="P115" s="505">
        <f t="shared" si="16"/>
        <v>0</v>
      </c>
    </row>
    <row r="116" spans="2:16" ht="12.5">
      <c r="B116" s="145" t="str">
        <f t="shared" si="10"/>
        <v/>
      </c>
      <c r="C116" s="496">
        <f>IF(D94="","-",+C115+1)</f>
        <v>2034</v>
      </c>
      <c r="D116" s="350">
        <f>IF(F115+SUM(E$100:E115)=D$93,F115,D$93-SUM(E$100:E115))</f>
        <v>7592869.18686869</v>
      </c>
      <c r="E116" s="510">
        <f t="shared" si="17"/>
        <v>610474.28571428568</v>
      </c>
      <c r="F116" s="511">
        <f t="shared" si="18"/>
        <v>6982394.9011544045</v>
      </c>
      <c r="G116" s="511">
        <f t="shared" si="19"/>
        <v>7287632.0440115472</v>
      </c>
      <c r="H116" s="646">
        <f t="shared" si="20"/>
        <v>1385976.7107256376</v>
      </c>
      <c r="I116" s="628">
        <f t="shared" si="21"/>
        <v>1385976.7107256376</v>
      </c>
      <c r="J116" s="505">
        <f t="shared" si="11"/>
        <v>0</v>
      </c>
      <c r="K116" s="505"/>
      <c r="L116" s="513"/>
      <c r="M116" s="505">
        <f t="shared" si="22"/>
        <v>0</v>
      </c>
      <c r="N116" s="513"/>
      <c r="O116" s="505">
        <f t="shared" si="15"/>
        <v>0</v>
      </c>
      <c r="P116" s="505">
        <f t="shared" si="16"/>
        <v>0</v>
      </c>
    </row>
    <row r="117" spans="2:16" ht="12.5">
      <c r="B117" s="145" t="str">
        <f t="shared" si="10"/>
        <v/>
      </c>
      <c r="C117" s="496">
        <f>IF(D94="","-",+C116+1)</f>
        <v>2035</v>
      </c>
      <c r="D117" s="350">
        <f>IF(F116+SUM(E$100:E116)=D$93,F116,D$93-SUM(E$100:E116))</f>
        <v>6982394.9011544045</v>
      </c>
      <c r="E117" s="510">
        <f t="shared" si="17"/>
        <v>610474.28571428568</v>
      </c>
      <c r="F117" s="511">
        <f t="shared" si="18"/>
        <v>6371920.6154401191</v>
      </c>
      <c r="G117" s="511">
        <f t="shared" si="19"/>
        <v>6677157.7582972618</v>
      </c>
      <c r="H117" s="646">
        <f t="shared" si="20"/>
        <v>1321014.0059513855</v>
      </c>
      <c r="I117" s="628">
        <f t="shared" si="21"/>
        <v>1321014.0059513855</v>
      </c>
      <c r="J117" s="505">
        <f t="shared" si="11"/>
        <v>0</v>
      </c>
      <c r="K117" s="505"/>
      <c r="L117" s="513"/>
      <c r="M117" s="505">
        <f t="shared" si="22"/>
        <v>0</v>
      </c>
      <c r="N117" s="513"/>
      <c r="O117" s="505">
        <f t="shared" si="15"/>
        <v>0</v>
      </c>
      <c r="P117" s="505">
        <f t="shared" si="16"/>
        <v>0</v>
      </c>
    </row>
    <row r="118" spans="2:16" ht="12.5">
      <c r="B118" s="145" t="str">
        <f t="shared" si="10"/>
        <v/>
      </c>
      <c r="C118" s="496">
        <f>IF(D94="","-",+C117+1)</f>
        <v>2036</v>
      </c>
      <c r="D118" s="350">
        <f>IF(F117+SUM(E$100:E117)=D$93,F117,D$93-SUM(E$100:E117))</f>
        <v>6371920.6154401191</v>
      </c>
      <c r="E118" s="510">
        <f t="shared" si="17"/>
        <v>610474.28571428568</v>
      </c>
      <c r="F118" s="511">
        <f t="shared" si="18"/>
        <v>5761446.3297258336</v>
      </c>
      <c r="G118" s="511">
        <f t="shared" si="19"/>
        <v>6066683.4725829763</v>
      </c>
      <c r="H118" s="646">
        <f t="shared" si="20"/>
        <v>1256051.3011771336</v>
      </c>
      <c r="I118" s="628">
        <f t="shared" si="21"/>
        <v>1256051.3011771336</v>
      </c>
      <c r="J118" s="505">
        <f t="shared" si="11"/>
        <v>0</v>
      </c>
      <c r="K118" s="505"/>
      <c r="L118" s="513"/>
      <c r="M118" s="505">
        <f t="shared" si="22"/>
        <v>0</v>
      </c>
      <c r="N118" s="513"/>
      <c r="O118" s="505">
        <f t="shared" si="15"/>
        <v>0</v>
      </c>
      <c r="P118" s="505">
        <f t="shared" si="16"/>
        <v>0</v>
      </c>
    </row>
    <row r="119" spans="2:16" ht="12.5">
      <c r="B119" s="145" t="str">
        <f t="shared" si="10"/>
        <v/>
      </c>
      <c r="C119" s="496">
        <f>IF(D94="","-",+C118+1)</f>
        <v>2037</v>
      </c>
      <c r="D119" s="350">
        <f>IF(F118+SUM(E$100:E118)=D$93,F118,D$93-SUM(E$100:E118))</f>
        <v>5761446.3297258336</v>
      </c>
      <c r="E119" s="510">
        <f t="shared" si="17"/>
        <v>610474.28571428568</v>
      </c>
      <c r="F119" s="511">
        <f t="shared" si="18"/>
        <v>5150972.0440115482</v>
      </c>
      <c r="G119" s="511">
        <f t="shared" si="19"/>
        <v>5456209.1868686909</v>
      </c>
      <c r="H119" s="646">
        <f t="shared" si="20"/>
        <v>1191088.5964028814</v>
      </c>
      <c r="I119" s="628">
        <f t="shared" si="21"/>
        <v>1191088.5964028814</v>
      </c>
      <c r="J119" s="505">
        <f t="shared" si="11"/>
        <v>0</v>
      </c>
      <c r="K119" s="505"/>
      <c r="L119" s="513"/>
      <c r="M119" s="505">
        <f t="shared" si="22"/>
        <v>0</v>
      </c>
      <c r="N119" s="513"/>
      <c r="O119" s="505">
        <f t="shared" si="15"/>
        <v>0</v>
      </c>
      <c r="P119" s="505">
        <f t="shared" si="16"/>
        <v>0</v>
      </c>
    </row>
    <row r="120" spans="2:16" ht="12.5">
      <c r="B120" s="145" t="str">
        <f t="shared" si="10"/>
        <v/>
      </c>
      <c r="C120" s="496">
        <f>IF(D94="","-",+C119+1)</f>
        <v>2038</v>
      </c>
      <c r="D120" s="350">
        <f>IF(F119+SUM(E$100:E119)=D$93,F119,D$93-SUM(E$100:E119))</f>
        <v>5150972.0440115482</v>
      </c>
      <c r="E120" s="510">
        <f t="shared" si="17"/>
        <v>610474.28571428568</v>
      </c>
      <c r="F120" s="511">
        <f t="shared" si="18"/>
        <v>4540497.7582972627</v>
      </c>
      <c r="G120" s="511">
        <f t="shared" si="19"/>
        <v>4845734.9011544054</v>
      </c>
      <c r="H120" s="646">
        <f t="shared" si="20"/>
        <v>1126125.8916286295</v>
      </c>
      <c r="I120" s="628">
        <f t="shared" si="21"/>
        <v>1126125.8916286295</v>
      </c>
      <c r="J120" s="505">
        <f t="shared" si="11"/>
        <v>0</v>
      </c>
      <c r="K120" s="505"/>
      <c r="L120" s="513"/>
      <c r="M120" s="505">
        <f t="shared" si="22"/>
        <v>0</v>
      </c>
      <c r="N120" s="513"/>
      <c r="O120" s="505">
        <f t="shared" si="15"/>
        <v>0</v>
      </c>
      <c r="P120" s="505">
        <f t="shared" si="16"/>
        <v>0</v>
      </c>
    </row>
    <row r="121" spans="2:16" ht="12.5">
      <c r="B121" s="145" t="str">
        <f t="shared" si="10"/>
        <v/>
      </c>
      <c r="C121" s="496">
        <f>IF(D94="","-",+C120+1)</f>
        <v>2039</v>
      </c>
      <c r="D121" s="350">
        <f>IF(F120+SUM(E$100:E120)=D$93,F120,D$93-SUM(E$100:E120))</f>
        <v>4540497.7582972627</v>
      </c>
      <c r="E121" s="510">
        <f t="shared" si="17"/>
        <v>610474.28571428568</v>
      </c>
      <c r="F121" s="511">
        <f t="shared" si="18"/>
        <v>3930023.4725829773</v>
      </c>
      <c r="G121" s="511">
        <f t="shared" si="19"/>
        <v>4235260.61544012</v>
      </c>
      <c r="H121" s="646">
        <f t="shared" si="20"/>
        <v>1061163.1868543774</v>
      </c>
      <c r="I121" s="628">
        <f t="shared" si="21"/>
        <v>1061163.1868543774</v>
      </c>
      <c r="J121" s="505">
        <f t="shared" si="11"/>
        <v>0</v>
      </c>
      <c r="K121" s="505"/>
      <c r="L121" s="513"/>
      <c r="M121" s="505">
        <f t="shared" si="22"/>
        <v>0</v>
      </c>
      <c r="N121" s="513"/>
      <c r="O121" s="505">
        <f t="shared" si="15"/>
        <v>0</v>
      </c>
      <c r="P121" s="505">
        <f t="shared" si="16"/>
        <v>0</v>
      </c>
    </row>
    <row r="122" spans="2:16" ht="12.5">
      <c r="B122" s="145" t="str">
        <f t="shared" si="10"/>
        <v/>
      </c>
      <c r="C122" s="496">
        <f>IF(D94="","-",+C121+1)</f>
        <v>2040</v>
      </c>
      <c r="D122" s="350">
        <f>IF(F121+SUM(E$100:E121)=D$93,F121,D$93-SUM(E$100:E121))</f>
        <v>3930023.4725829773</v>
      </c>
      <c r="E122" s="510">
        <f t="shared" si="17"/>
        <v>610474.28571428568</v>
      </c>
      <c r="F122" s="511">
        <f t="shared" si="18"/>
        <v>3319549.1868686918</v>
      </c>
      <c r="G122" s="511">
        <f t="shared" si="19"/>
        <v>3624786.3297258345</v>
      </c>
      <c r="H122" s="646">
        <f t="shared" si="20"/>
        <v>996200.48208012525</v>
      </c>
      <c r="I122" s="628">
        <f t="shared" si="21"/>
        <v>996200.48208012525</v>
      </c>
      <c r="J122" s="505">
        <f t="shared" si="11"/>
        <v>0</v>
      </c>
      <c r="K122" s="505"/>
      <c r="L122" s="513"/>
      <c r="M122" s="505">
        <f t="shared" si="22"/>
        <v>0</v>
      </c>
      <c r="N122" s="513"/>
      <c r="O122" s="505">
        <f t="shared" si="15"/>
        <v>0</v>
      </c>
      <c r="P122" s="505">
        <f t="shared" si="16"/>
        <v>0</v>
      </c>
    </row>
    <row r="123" spans="2:16" ht="12.5">
      <c r="B123" s="145" t="str">
        <f t="shared" si="10"/>
        <v/>
      </c>
      <c r="C123" s="496">
        <f>IF(D94="","-",+C122+1)</f>
        <v>2041</v>
      </c>
      <c r="D123" s="350">
        <f>IF(F122+SUM(E$100:E122)=D$93,F122,D$93-SUM(E$100:E122))</f>
        <v>3319549.1868686918</v>
      </c>
      <c r="E123" s="510">
        <f t="shared" si="17"/>
        <v>610474.28571428568</v>
      </c>
      <c r="F123" s="511">
        <f t="shared" si="18"/>
        <v>2709074.9011544064</v>
      </c>
      <c r="G123" s="511">
        <f t="shared" si="19"/>
        <v>3014312.0440115491</v>
      </c>
      <c r="H123" s="646">
        <f t="shared" si="20"/>
        <v>931237.77730587311</v>
      </c>
      <c r="I123" s="628">
        <f t="shared" si="21"/>
        <v>931237.77730587311</v>
      </c>
      <c r="J123" s="505">
        <f t="shared" si="11"/>
        <v>0</v>
      </c>
      <c r="K123" s="505"/>
      <c r="L123" s="513"/>
      <c r="M123" s="505">
        <f t="shared" si="22"/>
        <v>0</v>
      </c>
      <c r="N123" s="513"/>
      <c r="O123" s="505">
        <f t="shared" si="15"/>
        <v>0</v>
      </c>
      <c r="P123" s="505">
        <f t="shared" si="16"/>
        <v>0</v>
      </c>
    </row>
    <row r="124" spans="2:16" ht="12.5">
      <c r="B124" s="145" t="str">
        <f t="shared" si="10"/>
        <v/>
      </c>
      <c r="C124" s="496">
        <f>IF(D94="","-",+C123+1)</f>
        <v>2042</v>
      </c>
      <c r="D124" s="350">
        <f>IF(F123+SUM(E$100:E123)=D$93,F123,D$93-SUM(E$100:E123))</f>
        <v>2709074.9011544064</v>
      </c>
      <c r="E124" s="510">
        <f t="shared" si="17"/>
        <v>610474.28571428568</v>
      </c>
      <c r="F124" s="511">
        <f t="shared" si="18"/>
        <v>2098600.6154401209</v>
      </c>
      <c r="G124" s="511">
        <f t="shared" si="19"/>
        <v>2403837.7582972636</v>
      </c>
      <c r="H124" s="646">
        <f t="shared" si="20"/>
        <v>866275.07253162109</v>
      </c>
      <c r="I124" s="628">
        <f t="shared" si="21"/>
        <v>866275.07253162109</v>
      </c>
      <c r="J124" s="505">
        <f t="shared" si="11"/>
        <v>0</v>
      </c>
      <c r="K124" s="505"/>
      <c r="L124" s="513"/>
      <c r="M124" s="505">
        <f t="shared" si="22"/>
        <v>0</v>
      </c>
      <c r="N124" s="513"/>
      <c r="O124" s="505">
        <f t="shared" si="15"/>
        <v>0</v>
      </c>
      <c r="P124" s="505">
        <f t="shared" si="16"/>
        <v>0</v>
      </c>
    </row>
    <row r="125" spans="2:16" ht="12.5">
      <c r="B125" s="145" t="str">
        <f t="shared" si="10"/>
        <v/>
      </c>
      <c r="C125" s="496">
        <f>IF(D94="","-",+C124+1)</f>
        <v>2043</v>
      </c>
      <c r="D125" s="350">
        <f>IF(F124+SUM(E$100:E124)=D$93,F124,D$93-SUM(E$100:E124))</f>
        <v>2098600.6154401209</v>
      </c>
      <c r="E125" s="510">
        <f t="shared" si="17"/>
        <v>610474.28571428568</v>
      </c>
      <c r="F125" s="511">
        <f t="shared" si="18"/>
        <v>1488126.3297258352</v>
      </c>
      <c r="G125" s="511">
        <f t="shared" si="19"/>
        <v>1793363.4725829782</v>
      </c>
      <c r="H125" s="646">
        <f t="shared" si="20"/>
        <v>801312.36775736907</v>
      </c>
      <c r="I125" s="628">
        <f t="shared" si="21"/>
        <v>801312.36775736907</v>
      </c>
      <c r="J125" s="505">
        <f t="shared" si="11"/>
        <v>0</v>
      </c>
      <c r="K125" s="505"/>
      <c r="L125" s="513"/>
      <c r="M125" s="505">
        <f t="shared" si="22"/>
        <v>0</v>
      </c>
      <c r="N125" s="513"/>
      <c r="O125" s="505">
        <f t="shared" si="15"/>
        <v>0</v>
      </c>
      <c r="P125" s="505">
        <f t="shared" si="16"/>
        <v>0</v>
      </c>
    </row>
    <row r="126" spans="2:16" ht="12.5">
      <c r="B126" s="145" t="str">
        <f t="shared" si="10"/>
        <v/>
      </c>
      <c r="C126" s="496">
        <f>IF(D94="","-",+C125+1)</f>
        <v>2044</v>
      </c>
      <c r="D126" s="350">
        <f>IF(F125+SUM(E$100:E125)=D$93,F125,D$93-SUM(E$100:E125))</f>
        <v>1488126.3297258352</v>
      </c>
      <c r="E126" s="510">
        <f t="shared" si="17"/>
        <v>610474.28571428568</v>
      </c>
      <c r="F126" s="511">
        <f t="shared" si="18"/>
        <v>877652.04401154956</v>
      </c>
      <c r="G126" s="511">
        <f t="shared" si="19"/>
        <v>1182889.1868686923</v>
      </c>
      <c r="H126" s="646">
        <f t="shared" si="20"/>
        <v>736349.66298311693</v>
      </c>
      <c r="I126" s="628">
        <f t="shared" si="21"/>
        <v>736349.66298311693</v>
      </c>
      <c r="J126" s="505">
        <f t="shared" si="11"/>
        <v>0</v>
      </c>
      <c r="K126" s="505"/>
      <c r="L126" s="513"/>
      <c r="M126" s="505">
        <f t="shared" si="22"/>
        <v>0</v>
      </c>
      <c r="N126" s="513"/>
      <c r="O126" s="505">
        <f t="shared" si="15"/>
        <v>0</v>
      </c>
      <c r="P126" s="505">
        <f t="shared" si="16"/>
        <v>0</v>
      </c>
    </row>
    <row r="127" spans="2:16" ht="12.5">
      <c r="B127" s="145" t="str">
        <f t="shared" si="10"/>
        <v/>
      </c>
      <c r="C127" s="496">
        <f>IF(D94="","-",+C126+1)</f>
        <v>2045</v>
      </c>
      <c r="D127" s="350">
        <f>IF(F126+SUM(E$100:E126)=D$93,F126,D$93-SUM(E$100:E126))</f>
        <v>877652.04401154956</v>
      </c>
      <c r="E127" s="510">
        <f t="shared" si="17"/>
        <v>610474.28571428568</v>
      </c>
      <c r="F127" s="511">
        <f t="shared" si="18"/>
        <v>267177.75829726388</v>
      </c>
      <c r="G127" s="511">
        <f t="shared" si="19"/>
        <v>572414.90115440672</v>
      </c>
      <c r="H127" s="646">
        <f t="shared" si="20"/>
        <v>671386.95820886479</v>
      </c>
      <c r="I127" s="628">
        <f t="shared" si="21"/>
        <v>671386.95820886479</v>
      </c>
      <c r="J127" s="505">
        <f t="shared" si="11"/>
        <v>0</v>
      </c>
      <c r="K127" s="505"/>
      <c r="L127" s="513"/>
      <c r="M127" s="505">
        <f t="shared" si="22"/>
        <v>0</v>
      </c>
      <c r="N127" s="513"/>
      <c r="O127" s="505">
        <f t="shared" si="15"/>
        <v>0</v>
      </c>
      <c r="P127" s="505">
        <f t="shared" si="16"/>
        <v>0</v>
      </c>
    </row>
    <row r="128" spans="2:16" ht="12.5">
      <c r="B128" s="145" t="str">
        <f t="shared" si="10"/>
        <v/>
      </c>
      <c r="C128" s="496">
        <f>IF(D94="","-",+C127+1)</f>
        <v>2046</v>
      </c>
      <c r="D128" s="350">
        <f>IF(F127+SUM(E$100:E127)=D$93,F127,D$93-SUM(E$100:E127))</f>
        <v>267177.75829726388</v>
      </c>
      <c r="E128" s="510">
        <f t="shared" si="17"/>
        <v>267177.75829726388</v>
      </c>
      <c r="F128" s="511">
        <f t="shared" si="18"/>
        <v>0</v>
      </c>
      <c r="G128" s="511">
        <f t="shared" si="19"/>
        <v>133588.87914863194</v>
      </c>
      <c r="H128" s="646">
        <f t="shared" si="20"/>
        <v>281393.41835099045</v>
      </c>
      <c r="I128" s="628">
        <f t="shared" si="21"/>
        <v>281393.41835099045</v>
      </c>
      <c r="J128" s="505">
        <f t="shared" si="11"/>
        <v>0</v>
      </c>
      <c r="K128" s="505"/>
      <c r="L128" s="513"/>
      <c r="M128" s="505">
        <f t="shared" si="22"/>
        <v>0</v>
      </c>
      <c r="N128" s="513"/>
      <c r="O128" s="505">
        <f t="shared" si="15"/>
        <v>0</v>
      </c>
      <c r="P128" s="505">
        <f t="shared" si="16"/>
        <v>0</v>
      </c>
    </row>
    <row r="129" spans="2:16" ht="12.5">
      <c r="B129" s="145" t="str">
        <f t="shared" si="10"/>
        <v/>
      </c>
      <c r="C129" s="496">
        <f>IF(D94="","-",+C128+1)</f>
        <v>2047</v>
      </c>
      <c r="D129" s="350">
        <f>IF(F128+SUM(E$100:E128)=D$93,F128,D$93-SUM(E$100:E128))</f>
        <v>0</v>
      </c>
      <c r="E129" s="510">
        <f t="shared" si="17"/>
        <v>0</v>
      </c>
      <c r="F129" s="511">
        <f t="shared" si="18"/>
        <v>0</v>
      </c>
      <c r="G129" s="511">
        <f t="shared" si="19"/>
        <v>0</v>
      </c>
      <c r="H129" s="646">
        <f t="shared" si="20"/>
        <v>0</v>
      </c>
      <c r="I129" s="628">
        <f t="shared" si="21"/>
        <v>0</v>
      </c>
      <c r="J129" s="505">
        <f t="shared" si="11"/>
        <v>0</v>
      </c>
      <c r="K129" s="505"/>
      <c r="L129" s="513"/>
      <c r="M129" s="505">
        <f t="shared" si="22"/>
        <v>0</v>
      </c>
      <c r="N129" s="513"/>
      <c r="O129" s="505">
        <f t="shared" si="15"/>
        <v>0</v>
      </c>
      <c r="P129" s="505">
        <f t="shared" si="16"/>
        <v>0</v>
      </c>
    </row>
    <row r="130" spans="2:16" ht="12.5">
      <c r="B130" s="145" t="str">
        <f t="shared" si="10"/>
        <v/>
      </c>
      <c r="C130" s="496">
        <f>IF(D94="","-",+C129+1)</f>
        <v>2048</v>
      </c>
      <c r="D130" s="350">
        <f>IF(F129+SUM(E$100:E129)=D$93,F129,D$93-SUM(E$100:E129))</f>
        <v>0</v>
      </c>
      <c r="E130" s="510">
        <f t="shared" si="17"/>
        <v>0</v>
      </c>
      <c r="F130" s="511">
        <f t="shared" si="18"/>
        <v>0</v>
      </c>
      <c r="G130" s="511">
        <f t="shared" si="19"/>
        <v>0</v>
      </c>
      <c r="H130" s="646">
        <f t="shared" si="20"/>
        <v>0</v>
      </c>
      <c r="I130" s="628">
        <f t="shared" si="21"/>
        <v>0</v>
      </c>
      <c r="J130" s="505">
        <f t="shared" si="11"/>
        <v>0</v>
      </c>
      <c r="K130" s="505"/>
      <c r="L130" s="513"/>
      <c r="M130" s="505">
        <f t="shared" si="22"/>
        <v>0</v>
      </c>
      <c r="N130" s="513"/>
      <c r="O130" s="505">
        <f t="shared" si="15"/>
        <v>0</v>
      </c>
      <c r="P130" s="505">
        <f t="shared" si="16"/>
        <v>0</v>
      </c>
    </row>
    <row r="131" spans="2:16" ht="12.5">
      <c r="B131" s="145" t="str">
        <f t="shared" si="10"/>
        <v/>
      </c>
      <c r="C131" s="496">
        <f>IF(D94="","-",+C130+1)</f>
        <v>2049</v>
      </c>
      <c r="D131" s="350">
        <f>IF(F130+SUM(E$100:E130)=D$93,F130,D$93-SUM(E$100:E130))</f>
        <v>0</v>
      </c>
      <c r="E131" s="510">
        <f t="shared" si="17"/>
        <v>0</v>
      </c>
      <c r="F131" s="511">
        <f t="shared" si="18"/>
        <v>0</v>
      </c>
      <c r="G131" s="511">
        <f t="shared" si="19"/>
        <v>0</v>
      </c>
      <c r="H131" s="646">
        <f t="shared" si="20"/>
        <v>0</v>
      </c>
      <c r="I131" s="628">
        <f t="shared" si="21"/>
        <v>0</v>
      </c>
      <c r="J131" s="505">
        <f t="shared" si="11"/>
        <v>0</v>
      </c>
      <c r="K131" s="505"/>
      <c r="L131" s="513"/>
      <c r="M131" s="505">
        <f t="shared" si="22"/>
        <v>0</v>
      </c>
      <c r="N131" s="513"/>
      <c r="O131" s="505">
        <f t="shared" si="15"/>
        <v>0</v>
      </c>
      <c r="P131" s="505">
        <f t="shared" si="16"/>
        <v>0</v>
      </c>
    </row>
    <row r="132" spans="2:16" ht="12.5">
      <c r="B132" s="145" t="str">
        <f t="shared" si="10"/>
        <v/>
      </c>
      <c r="C132" s="496">
        <f>IF(D94="","-",+C131+1)</f>
        <v>2050</v>
      </c>
      <c r="D132" s="350">
        <f>IF(F131+SUM(E$100:E131)=D$93,F131,D$93-SUM(E$100:E131))</f>
        <v>0</v>
      </c>
      <c r="E132" s="510">
        <f t="shared" si="17"/>
        <v>0</v>
      </c>
      <c r="F132" s="511">
        <f t="shared" si="18"/>
        <v>0</v>
      </c>
      <c r="G132" s="511">
        <f t="shared" si="19"/>
        <v>0</v>
      </c>
      <c r="H132" s="646">
        <f t="shared" si="20"/>
        <v>0</v>
      </c>
      <c r="I132" s="628">
        <f t="shared" si="21"/>
        <v>0</v>
      </c>
      <c r="J132" s="505">
        <f t="shared" ref="J132:J155" si="23">+I542-H542</f>
        <v>0</v>
      </c>
      <c r="K132" s="505"/>
      <c r="L132" s="513"/>
      <c r="M132" s="505">
        <f t="shared" ref="M132:M155" si="24">IF(L542&lt;&gt;0,+H542-L542,0)</f>
        <v>0</v>
      </c>
      <c r="N132" s="513"/>
      <c r="O132" s="505">
        <f t="shared" ref="O132:O155" si="25">IF(N542&lt;&gt;0,+I542-N542,0)</f>
        <v>0</v>
      </c>
      <c r="P132" s="505">
        <f t="shared" ref="P132:P155" si="26">+O542-M542</f>
        <v>0</v>
      </c>
    </row>
    <row r="133" spans="2:16" ht="12.5">
      <c r="B133" s="145" t="str">
        <f t="shared" si="10"/>
        <v/>
      </c>
      <c r="C133" s="496">
        <f>IF(D94="","-",+C132+1)</f>
        <v>2051</v>
      </c>
      <c r="D133" s="350">
        <f>IF(F132+SUM(E$100:E132)=D$93,F132,D$93-SUM(E$100:E132))</f>
        <v>0</v>
      </c>
      <c r="E133" s="510">
        <f t="shared" si="17"/>
        <v>0</v>
      </c>
      <c r="F133" s="511">
        <f t="shared" si="18"/>
        <v>0</v>
      </c>
      <c r="G133" s="511">
        <f t="shared" si="19"/>
        <v>0</v>
      </c>
      <c r="H133" s="646">
        <f t="shared" si="20"/>
        <v>0</v>
      </c>
      <c r="I133" s="628">
        <f t="shared" si="21"/>
        <v>0</v>
      </c>
      <c r="J133" s="505">
        <f t="shared" si="23"/>
        <v>0</v>
      </c>
      <c r="K133" s="505"/>
      <c r="L133" s="513"/>
      <c r="M133" s="505">
        <f t="shared" si="24"/>
        <v>0</v>
      </c>
      <c r="N133" s="513"/>
      <c r="O133" s="505">
        <f t="shared" si="25"/>
        <v>0</v>
      </c>
      <c r="P133" s="505">
        <f t="shared" si="26"/>
        <v>0</v>
      </c>
    </row>
    <row r="134" spans="2:16" ht="12.5">
      <c r="B134" s="145" t="str">
        <f t="shared" si="10"/>
        <v/>
      </c>
      <c r="C134" s="496">
        <f>IF(D94="","-",+C133+1)</f>
        <v>2052</v>
      </c>
      <c r="D134" s="350">
        <f>IF(F133+SUM(E$100:E133)=D$93,F133,D$93-SUM(E$100:E133))</f>
        <v>0</v>
      </c>
      <c r="E134" s="510">
        <f t="shared" si="17"/>
        <v>0</v>
      </c>
      <c r="F134" s="511">
        <f t="shared" si="18"/>
        <v>0</v>
      </c>
      <c r="G134" s="511">
        <f t="shared" si="19"/>
        <v>0</v>
      </c>
      <c r="H134" s="646">
        <f t="shared" si="20"/>
        <v>0</v>
      </c>
      <c r="I134" s="628">
        <f t="shared" si="21"/>
        <v>0</v>
      </c>
      <c r="J134" s="505">
        <f t="shared" si="23"/>
        <v>0</v>
      </c>
      <c r="K134" s="505"/>
      <c r="L134" s="513"/>
      <c r="M134" s="505">
        <f t="shared" si="24"/>
        <v>0</v>
      </c>
      <c r="N134" s="513"/>
      <c r="O134" s="505">
        <f t="shared" si="25"/>
        <v>0</v>
      </c>
      <c r="P134" s="505">
        <f t="shared" si="26"/>
        <v>0</v>
      </c>
    </row>
    <row r="135" spans="2:16" ht="12.5">
      <c r="B135" s="145" t="str">
        <f t="shared" si="10"/>
        <v/>
      </c>
      <c r="C135" s="496">
        <f>IF(D94="","-",+C134+1)</f>
        <v>2053</v>
      </c>
      <c r="D135" s="350">
        <f>IF(F134+SUM(E$100:E134)=D$93,F134,D$93-SUM(E$100:E134))</f>
        <v>0</v>
      </c>
      <c r="E135" s="510">
        <f t="shared" si="17"/>
        <v>0</v>
      </c>
      <c r="F135" s="511">
        <f t="shared" si="18"/>
        <v>0</v>
      </c>
      <c r="G135" s="511">
        <f t="shared" si="19"/>
        <v>0</v>
      </c>
      <c r="H135" s="646">
        <f t="shared" si="20"/>
        <v>0</v>
      </c>
      <c r="I135" s="628">
        <f t="shared" si="21"/>
        <v>0</v>
      </c>
      <c r="J135" s="505">
        <f t="shared" si="23"/>
        <v>0</v>
      </c>
      <c r="K135" s="505"/>
      <c r="L135" s="513"/>
      <c r="M135" s="505">
        <f t="shared" si="24"/>
        <v>0</v>
      </c>
      <c r="N135" s="513"/>
      <c r="O135" s="505">
        <f t="shared" si="25"/>
        <v>0</v>
      </c>
      <c r="P135" s="505">
        <f t="shared" si="26"/>
        <v>0</v>
      </c>
    </row>
    <row r="136" spans="2:16" ht="12.5">
      <c r="B136" s="145" t="str">
        <f t="shared" si="10"/>
        <v/>
      </c>
      <c r="C136" s="496">
        <f>IF(D94="","-",+C135+1)</f>
        <v>2054</v>
      </c>
      <c r="D136" s="350">
        <f>IF(F135+SUM(E$100:E135)=D$93,F135,D$93-SUM(E$100:E135))</f>
        <v>0</v>
      </c>
      <c r="E136" s="510">
        <f t="shared" si="17"/>
        <v>0</v>
      </c>
      <c r="F136" s="511">
        <f t="shared" si="18"/>
        <v>0</v>
      </c>
      <c r="G136" s="511">
        <f t="shared" si="19"/>
        <v>0</v>
      </c>
      <c r="H136" s="646">
        <f t="shared" si="20"/>
        <v>0</v>
      </c>
      <c r="I136" s="628">
        <f t="shared" si="21"/>
        <v>0</v>
      </c>
      <c r="J136" s="505">
        <f t="shared" si="23"/>
        <v>0</v>
      </c>
      <c r="K136" s="505"/>
      <c r="L136" s="513"/>
      <c r="M136" s="505">
        <f t="shared" si="24"/>
        <v>0</v>
      </c>
      <c r="N136" s="513"/>
      <c r="O136" s="505">
        <f t="shared" si="25"/>
        <v>0</v>
      </c>
      <c r="P136" s="505">
        <f t="shared" si="26"/>
        <v>0</v>
      </c>
    </row>
    <row r="137" spans="2:16" ht="12.5">
      <c r="B137" s="145" t="str">
        <f t="shared" si="10"/>
        <v/>
      </c>
      <c r="C137" s="496">
        <f>IF(D94="","-",+C136+1)</f>
        <v>2055</v>
      </c>
      <c r="D137" s="350">
        <f>IF(F136+SUM(E$100:E136)=D$93,F136,D$93-SUM(E$100:E136))</f>
        <v>0</v>
      </c>
      <c r="E137" s="510">
        <f t="shared" si="17"/>
        <v>0</v>
      </c>
      <c r="F137" s="511">
        <f t="shared" si="18"/>
        <v>0</v>
      </c>
      <c r="G137" s="511">
        <f t="shared" si="19"/>
        <v>0</v>
      </c>
      <c r="H137" s="646">
        <f t="shared" si="20"/>
        <v>0</v>
      </c>
      <c r="I137" s="628">
        <f t="shared" si="21"/>
        <v>0</v>
      </c>
      <c r="J137" s="505">
        <f t="shared" si="23"/>
        <v>0</v>
      </c>
      <c r="K137" s="505"/>
      <c r="L137" s="513"/>
      <c r="M137" s="505">
        <f t="shared" si="24"/>
        <v>0</v>
      </c>
      <c r="N137" s="513"/>
      <c r="O137" s="505">
        <f t="shared" si="25"/>
        <v>0</v>
      </c>
      <c r="P137" s="505">
        <f t="shared" si="26"/>
        <v>0</v>
      </c>
    </row>
    <row r="138" spans="2:16" ht="12.5">
      <c r="B138" s="145" t="str">
        <f t="shared" si="10"/>
        <v/>
      </c>
      <c r="C138" s="496">
        <f>IF(D94="","-",+C137+1)</f>
        <v>2056</v>
      </c>
      <c r="D138" s="350">
        <f>IF(F137+SUM(E$100:E137)=D$93,F137,D$93-SUM(E$100:E137))</f>
        <v>0</v>
      </c>
      <c r="E138" s="510">
        <f t="shared" si="17"/>
        <v>0</v>
      </c>
      <c r="F138" s="511">
        <f t="shared" si="18"/>
        <v>0</v>
      </c>
      <c r="G138" s="511">
        <f t="shared" si="19"/>
        <v>0</v>
      </c>
      <c r="H138" s="646">
        <f t="shared" si="20"/>
        <v>0</v>
      </c>
      <c r="I138" s="628">
        <f t="shared" si="21"/>
        <v>0</v>
      </c>
      <c r="J138" s="505">
        <f t="shared" si="23"/>
        <v>0</v>
      </c>
      <c r="K138" s="505"/>
      <c r="L138" s="513"/>
      <c r="M138" s="505">
        <f t="shared" si="24"/>
        <v>0</v>
      </c>
      <c r="N138" s="513"/>
      <c r="O138" s="505">
        <f t="shared" si="25"/>
        <v>0</v>
      </c>
      <c r="P138" s="505">
        <f t="shared" si="26"/>
        <v>0</v>
      </c>
    </row>
    <row r="139" spans="2:16" ht="12.5">
      <c r="B139" s="145" t="str">
        <f t="shared" si="10"/>
        <v/>
      </c>
      <c r="C139" s="496">
        <f>IF(D94="","-",+C138+1)</f>
        <v>2057</v>
      </c>
      <c r="D139" s="350">
        <f>IF(F138+SUM(E$100:E138)=D$93,F138,D$93-SUM(E$100:E138))</f>
        <v>0</v>
      </c>
      <c r="E139" s="510">
        <f t="shared" si="17"/>
        <v>0</v>
      </c>
      <c r="F139" s="511">
        <f t="shared" si="18"/>
        <v>0</v>
      </c>
      <c r="G139" s="511">
        <f t="shared" si="19"/>
        <v>0</v>
      </c>
      <c r="H139" s="646">
        <f t="shared" si="20"/>
        <v>0</v>
      </c>
      <c r="I139" s="628">
        <f t="shared" si="21"/>
        <v>0</v>
      </c>
      <c r="J139" s="505">
        <f t="shared" si="23"/>
        <v>0</v>
      </c>
      <c r="K139" s="505"/>
      <c r="L139" s="513"/>
      <c r="M139" s="505">
        <f t="shared" si="24"/>
        <v>0</v>
      </c>
      <c r="N139" s="513"/>
      <c r="O139" s="505">
        <f t="shared" si="25"/>
        <v>0</v>
      </c>
      <c r="P139" s="505">
        <f t="shared" si="26"/>
        <v>0</v>
      </c>
    </row>
    <row r="140" spans="2:16" ht="12.5">
      <c r="B140" s="145" t="str">
        <f t="shared" si="10"/>
        <v/>
      </c>
      <c r="C140" s="496">
        <f>IF(D94="","-",+C139+1)</f>
        <v>2058</v>
      </c>
      <c r="D140" s="350">
        <f>IF(F139+SUM(E$100:E139)=D$93,F139,D$93-SUM(E$100:E139))</f>
        <v>0</v>
      </c>
      <c r="E140" s="510">
        <f t="shared" si="17"/>
        <v>0</v>
      </c>
      <c r="F140" s="511">
        <f t="shared" si="18"/>
        <v>0</v>
      </c>
      <c r="G140" s="511">
        <f t="shared" si="19"/>
        <v>0</v>
      </c>
      <c r="H140" s="646">
        <f t="shared" si="20"/>
        <v>0</v>
      </c>
      <c r="I140" s="628">
        <f t="shared" si="21"/>
        <v>0</v>
      </c>
      <c r="J140" s="505">
        <f t="shared" si="23"/>
        <v>0</v>
      </c>
      <c r="K140" s="505"/>
      <c r="L140" s="513"/>
      <c r="M140" s="505">
        <f t="shared" si="24"/>
        <v>0</v>
      </c>
      <c r="N140" s="513"/>
      <c r="O140" s="505">
        <f t="shared" si="25"/>
        <v>0</v>
      </c>
      <c r="P140" s="505">
        <f t="shared" si="26"/>
        <v>0</v>
      </c>
    </row>
    <row r="141" spans="2:16" ht="12.5">
      <c r="B141" s="145" t="str">
        <f t="shared" si="10"/>
        <v/>
      </c>
      <c r="C141" s="496">
        <f>IF(D94="","-",+C140+1)</f>
        <v>2059</v>
      </c>
      <c r="D141" s="350">
        <f>IF(F140+SUM(E$100:E140)=D$93,F140,D$93-SUM(E$100:E140))</f>
        <v>0</v>
      </c>
      <c r="E141" s="510">
        <f t="shared" si="17"/>
        <v>0</v>
      </c>
      <c r="F141" s="511">
        <f t="shared" si="18"/>
        <v>0</v>
      </c>
      <c r="G141" s="511">
        <f t="shared" si="19"/>
        <v>0</v>
      </c>
      <c r="H141" s="646">
        <f t="shared" si="20"/>
        <v>0</v>
      </c>
      <c r="I141" s="628">
        <f t="shared" si="21"/>
        <v>0</v>
      </c>
      <c r="J141" s="505">
        <f t="shared" si="23"/>
        <v>0</v>
      </c>
      <c r="K141" s="505"/>
      <c r="L141" s="513"/>
      <c r="M141" s="505">
        <f t="shared" si="24"/>
        <v>0</v>
      </c>
      <c r="N141" s="513"/>
      <c r="O141" s="505">
        <f t="shared" si="25"/>
        <v>0</v>
      </c>
      <c r="P141" s="505">
        <f t="shared" si="26"/>
        <v>0</v>
      </c>
    </row>
    <row r="142" spans="2:16" ht="12.5">
      <c r="B142" s="145" t="str">
        <f t="shared" si="10"/>
        <v/>
      </c>
      <c r="C142" s="496">
        <f>IF(D94="","-",+C141+1)</f>
        <v>2060</v>
      </c>
      <c r="D142" s="350">
        <f>IF(F141+SUM(E$100:E141)=D$93,F141,D$93-SUM(E$100:E141))</f>
        <v>0</v>
      </c>
      <c r="E142" s="510">
        <f t="shared" si="17"/>
        <v>0</v>
      </c>
      <c r="F142" s="511">
        <f t="shared" si="18"/>
        <v>0</v>
      </c>
      <c r="G142" s="511">
        <f t="shared" si="19"/>
        <v>0</v>
      </c>
      <c r="H142" s="646">
        <f t="shared" si="20"/>
        <v>0</v>
      </c>
      <c r="I142" s="628">
        <f t="shared" si="21"/>
        <v>0</v>
      </c>
      <c r="J142" s="505">
        <f t="shared" si="23"/>
        <v>0</v>
      </c>
      <c r="K142" s="505"/>
      <c r="L142" s="513"/>
      <c r="M142" s="505">
        <f t="shared" si="24"/>
        <v>0</v>
      </c>
      <c r="N142" s="513"/>
      <c r="O142" s="505">
        <f t="shared" si="25"/>
        <v>0</v>
      </c>
      <c r="P142" s="505">
        <f t="shared" si="26"/>
        <v>0</v>
      </c>
    </row>
    <row r="143" spans="2:16" ht="12.5">
      <c r="B143" s="145" t="str">
        <f t="shared" si="10"/>
        <v/>
      </c>
      <c r="C143" s="496">
        <f>IF(D94="","-",+C142+1)</f>
        <v>2061</v>
      </c>
      <c r="D143" s="350">
        <f>IF(F142+SUM(E$100:E142)=D$93,F142,D$93-SUM(E$100:E142))</f>
        <v>0</v>
      </c>
      <c r="E143" s="510">
        <f t="shared" si="17"/>
        <v>0</v>
      </c>
      <c r="F143" s="511">
        <f t="shared" si="18"/>
        <v>0</v>
      </c>
      <c r="G143" s="511">
        <f t="shared" si="19"/>
        <v>0</v>
      </c>
      <c r="H143" s="646">
        <f t="shared" si="20"/>
        <v>0</v>
      </c>
      <c r="I143" s="628">
        <f t="shared" si="21"/>
        <v>0</v>
      </c>
      <c r="J143" s="505">
        <f t="shared" si="23"/>
        <v>0</v>
      </c>
      <c r="K143" s="505"/>
      <c r="L143" s="513"/>
      <c r="M143" s="505">
        <f t="shared" si="24"/>
        <v>0</v>
      </c>
      <c r="N143" s="513"/>
      <c r="O143" s="505">
        <f t="shared" si="25"/>
        <v>0</v>
      </c>
      <c r="P143" s="505">
        <f t="shared" si="26"/>
        <v>0</v>
      </c>
    </row>
    <row r="144" spans="2:16" ht="12.5">
      <c r="B144" s="145" t="str">
        <f t="shared" si="10"/>
        <v/>
      </c>
      <c r="C144" s="496">
        <f>IF(D94="","-",+C143+1)</f>
        <v>2062</v>
      </c>
      <c r="D144" s="350">
        <f>IF(F143+SUM(E$100:E143)=D$93,F143,D$93-SUM(E$100:E143))</f>
        <v>0</v>
      </c>
      <c r="E144" s="510">
        <f t="shared" si="17"/>
        <v>0</v>
      </c>
      <c r="F144" s="511">
        <f t="shared" si="18"/>
        <v>0</v>
      </c>
      <c r="G144" s="511">
        <f t="shared" si="19"/>
        <v>0</v>
      </c>
      <c r="H144" s="646">
        <f t="shared" si="20"/>
        <v>0</v>
      </c>
      <c r="I144" s="628">
        <f t="shared" si="21"/>
        <v>0</v>
      </c>
      <c r="J144" s="505">
        <f t="shared" si="23"/>
        <v>0</v>
      </c>
      <c r="K144" s="505"/>
      <c r="L144" s="513"/>
      <c r="M144" s="505">
        <f t="shared" si="24"/>
        <v>0</v>
      </c>
      <c r="N144" s="513"/>
      <c r="O144" s="505">
        <f t="shared" si="25"/>
        <v>0</v>
      </c>
      <c r="P144" s="505">
        <f t="shared" si="26"/>
        <v>0</v>
      </c>
    </row>
    <row r="145" spans="2:16" ht="12.5">
      <c r="B145" s="145" t="str">
        <f t="shared" si="10"/>
        <v/>
      </c>
      <c r="C145" s="496">
        <f>IF(D94="","-",+C144+1)</f>
        <v>2063</v>
      </c>
      <c r="D145" s="350">
        <f>IF(F144+SUM(E$100:E144)=D$93,F144,D$93-SUM(E$100:E144))</f>
        <v>0</v>
      </c>
      <c r="E145" s="510">
        <f t="shared" si="17"/>
        <v>0</v>
      </c>
      <c r="F145" s="511">
        <f t="shared" si="18"/>
        <v>0</v>
      </c>
      <c r="G145" s="511">
        <f t="shared" si="19"/>
        <v>0</v>
      </c>
      <c r="H145" s="646">
        <f t="shared" si="20"/>
        <v>0</v>
      </c>
      <c r="I145" s="628">
        <f t="shared" si="21"/>
        <v>0</v>
      </c>
      <c r="J145" s="505">
        <f t="shared" si="23"/>
        <v>0</v>
      </c>
      <c r="K145" s="505"/>
      <c r="L145" s="513"/>
      <c r="M145" s="505">
        <f t="shared" si="24"/>
        <v>0</v>
      </c>
      <c r="N145" s="513"/>
      <c r="O145" s="505">
        <f t="shared" si="25"/>
        <v>0</v>
      </c>
      <c r="P145" s="505">
        <f t="shared" si="26"/>
        <v>0</v>
      </c>
    </row>
    <row r="146" spans="2:16" ht="12.5">
      <c r="B146" s="145" t="str">
        <f t="shared" si="10"/>
        <v/>
      </c>
      <c r="C146" s="496">
        <f>IF(D94="","-",+C145+1)</f>
        <v>2064</v>
      </c>
      <c r="D146" s="350">
        <f>IF(F145+SUM(E$100:E145)=D$93,F145,D$93-SUM(E$100:E145))</f>
        <v>0</v>
      </c>
      <c r="E146" s="510">
        <f t="shared" si="17"/>
        <v>0</v>
      </c>
      <c r="F146" s="511">
        <f t="shared" si="18"/>
        <v>0</v>
      </c>
      <c r="G146" s="511">
        <f t="shared" si="19"/>
        <v>0</v>
      </c>
      <c r="H146" s="646">
        <f t="shared" si="20"/>
        <v>0</v>
      </c>
      <c r="I146" s="628">
        <f t="shared" si="21"/>
        <v>0</v>
      </c>
      <c r="J146" s="505">
        <f t="shared" si="23"/>
        <v>0</v>
      </c>
      <c r="K146" s="505"/>
      <c r="L146" s="513"/>
      <c r="M146" s="505">
        <f t="shared" si="24"/>
        <v>0</v>
      </c>
      <c r="N146" s="513"/>
      <c r="O146" s="505">
        <f t="shared" si="25"/>
        <v>0</v>
      </c>
      <c r="P146" s="505">
        <f t="shared" si="26"/>
        <v>0</v>
      </c>
    </row>
    <row r="147" spans="2:16" ht="12.5">
      <c r="B147" s="145" t="str">
        <f t="shared" si="10"/>
        <v/>
      </c>
      <c r="C147" s="496">
        <f>IF(D94="","-",+C146+1)</f>
        <v>2065</v>
      </c>
      <c r="D147" s="350">
        <f>IF(F146+SUM(E$100:E146)=D$93,F146,D$93-SUM(E$100:E146))</f>
        <v>0</v>
      </c>
      <c r="E147" s="510">
        <f t="shared" si="17"/>
        <v>0</v>
      </c>
      <c r="F147" s="511">
        <f t="shared" si="18"/>
        <v>0</v>
      </c>
      <c r="G147" s="511">
        <f t="shared" si="19"/>
        <v>0</v>
      </c>
      <c r="H147" s="646">
        <f t="shared" si="20"/>
        <v>0</v>
      </c>
      <c r="I147" s="628">
        <f t="shared" si="21"/>
        <v>0</v>
      </c>
      <c r="J147" s="505">
        <f t="shared" si="23"/>
        <v>0</v>
      </c>
      <c r="K147" s="505"/>
      <c r="L147" s="513"/>
      <c r="M147" s="505">
        <f t="shared" si="24"/>
        <v>0</v>
      </c>
      <c r="N147" s="513"/>
      <c r="O147" s="505">
        <f t="shared" si="25"/>
        <v>0</v>
      </c>
      <c r="P147" s="505">
        <f t="shared" si="26"/>
        <v>0</v>
      </c>
    </row>
    <row r="148" spans="2:16" ht="12.5">
      <c r="B148" s="145" t="str">
        <f t="shared" si="10"/>
        <v/>
      </c>
      <c r="C148" s="496">
        <f>IF(D94="","-",+C147+1)</f>
        <v>2066</v>
      </c>
      <c r="D148" s="350">
        <f>IF(F147+SUM(E$100:E147)=D$93,F147,D$93-SUM(E$100:E147))</f>
        <v>0</v>
      </c>
      <c r="E148" s="510">
        <f t="shared" si="17"/>
        <v>0</v>
      </c>
      <c r="F148" s="511">
        <f t="shared" si="18"/>
        <v>0</v>
      </c>
      <c r="G148" s="511">
        <f t="shared" si="19"/>
        <v>0</v>
      </c>
      <c r="H148" s="646">
        <f t="shared" si="20"/>
        <v>0</v>
      </c>
      <c r="I148" s="628">
        <f t="shared" si="21"/>
        <v>0</v>
      </c>
      <c r="J148" s="505">
        <f t="shared" si="23"/>
        <v>0</v>
      </c>
      <c r="K148" s="505"/>
      <c r="L148" s="513"/>
      <c r="M148" s="505">
        <f t="shared" si="24"/>
        <v>0</v>
      </c>
      <c r="N148" s="513"/>
      <c r="O148" s="505">
        <f t="shared" si="25"/>
        <v>0</v>
      </c>
      <c r="P148" s="505">
        <f t="shared" si="26"/>
        <v>0</v>
      </c>
    </row>
    <row r="149" spans="2:16" ht="12.5">
      <c r="B149" s="145" t="str">
        <f t="shared" si="10"/>
        <v/>
      </c>
      <c r="C149" s="496">
        <f>IF(D94="","-",+C148+1)</f>
        <v>2067</v>
      </c>
      <c r="D149" s="350">
        <f>IF(F148+SUM(E$100:E148)=D$93,F148,D$93-SUM(E$100:E148))</f>
        <v>0</v>
      </c>
      <c r="E149" s="510">
        <f t="shared" si="17"/>
        <v>0</v>
      </c>
      <c r="F149" s="511">
        <f t="shared" si="18"/>
        <v>0</v>
      </c>
      <c r="G149" s="511">
        <f t="shared" si="19"/>
        <v>0</v>
      </c>
      <c r="H149" s="646">
        <f t="shared" si="20"/>
        <v>0</v>
      </c>
      <c r="I149" s="628">
        <f t="shared" si="21"/>
        <v>0</v>
      </c>
      <c r="J149" s="505">
        <f t="shared" si="23"/>
        <v>0</v>
      </c>
      <c r="K149" s="505"/>
      <c r="L149" s="513"/>
      <c r="M149" s="505">
        <f t="shared" si="24"/>
        <v>0</v>
      </c>
      <c r="N149" s="513"/>
      <c r="O149" s="505">
        <f t="shared" si="25"/>
        <v>0</v>
      </c>
      <c r="P149" s="505">
        <f t="shared" si="26"/>
        <v>0</v>
      </c>
    </row>
    <row r="150" spans="2:16" ht="12.5">
      <c r="B150" s="145" t="str">
        <f t="shared" si="10"/>
        <v/>
      </c>
      <c r="C150" s="496">
        <f>IF(D94="","-",+C149+1)</f>
        <v>2068</v>
      </c>
      <c r="D150" s="350">
        <f>IF(F149+SUM(E$100:E149)=D$93,F149,D$93-SUM(E$100:E149))</f>
        <v>0</v>
      </c>
      <c r="E150" s="510">
        <f t="shared" si="17"/>
        <v>0</v>
      </c>
      <c r="F150" s="511">
        <f t="shared" si="18"/>
        <v>0</v>
      </c>
      <c r="G150" s="511">
        <f t="shared" si="19"/>
        <v>0</v>
      </c>
      <c r="H150" s="646">
        <f t="shared" si="20"/>
        <v>0</v>
      </c>
      <c r="I150" s="628">
        <f t="shared" si="21"/>
        <v>0</v>
      </c>
      <c r="J150" s="505">
        <f t="shared" si="23"/>
        <v>0</v>
      </c>
      <c r="K150" s="505"/>
      <c r="L150" s="513"/>
      <c r="M150" s="505">
        <f t="shared" si="24"/>
        <v>0</v>
      </c>
      <c r="N150" s="513"/>
      <c r="O150" s="505">
        <f t="shared" si="25"/>
        <v>0</v>
      </c>
      <c r="P150" s="505">
        <f t="shared" si="26"/>
        <v>0</v>
      </c>
    </row>
    <row r="151" spans="2:16" ht="12.5">
      <c r="B151" s="145" t="str">
        <f t="shared" si="10"/>
        <v/>
      </c>
      <c r="C151" s="496">
        <f>IF(D94="","-",+C150+1)</f>
        <v>2069</v>
      </c>
      <c r="D151" s="350">
        <f>IF(F150+SUM(E$100:E150)=D$93,F150,D$93-SUM(E$100:E150))</f>
        <v>0</v>
      </c>
      <c r="E151" s="510">
        <f t="shared" si="17"/>
        <v>0</v>
      </c>
      <c r="F151" s="511">
        <f t="shared" si="18"/>
        <v>0</v>
      </c>
      <c r="G151" s="511">
        <f t="shared" si="19"/>
        <v>0</v>
      </c>
      <c r="H151" s="646">
        <f t="shared" si="20"/>
        <v>0</v>
      </c>
      <c r="I151" s="628">
        <f t="shared" si="21"/>
        <v>0</v>
      </c>
      <c r="J151" s="505">
        <f t="shared" si="23"/>
        <v>0</v>
      </c>
      <c r="K151" s="505"/>
      <c r="L151" s="513"/>
      <c r="M151" s="505">
        <f t="shared" si="24"/>
        <v>0</v>
      </c>
      <c r="N151" s="513"/>
      <c r="O151" s="505">
        <f t="shared" si="25"/>
        <v>0</v>
      </c>
      <c r="P151" s="505">
        <f t="shared" si="26"/>
        <v>0</v>
      </c>
    </row>
    <row r="152" spans="2:16" ht="12.5">
      <c r="B152" s="145" t="str">
        <f t="shared" si="10"/>
        <v/>
      </c>
      <c r="C152" s="496">
        <f>IF(D94="","-",+C151+1)</f>
        <v>2070</v>
      </c>
      <c r="D152" s="350">
        <f>IF(F151+SUM(E$100:E151)=D$93,F151,D$93-SUM(E$100:E151))</f>
        <v>0</v>
      </c>
      <c r="E152" s="510">
        <f t="shared" si="17"/>
        <v>0</v>
      </c>
      <c r="F152" s="511">
        <f t="shared" si="18"/>
        <v>0</v>
      </c>
      <c r="G152" s="511">
        <f t="shared" si="19"/>
        <v>0</v>
      </c>
      <c r="H152" s="646">
        <f t="shared" si="20"/>
        <v>0</v>
      </c>
      <c r="I152" s="628">
        <f t="shared" si="21"/>
        <v>0</v>
      </c>
      <c r="J152" s="505">
        <f t="shared" si="23"/>
        <v>0</v>
      </c>
      <c r="K152" s="505"/>
      <c r="L152" s="513"/>
      <c r="M152" s="505">
        <f t="shared" si="24"/>
        <v>0</v>
      </c>
      <c r="N152" s="513"/>
      <c r="O152" s="505">
        <f t="shared" si="25"/>
        <v>0</v>
      </c>
      <c r="P152" s="505">
        <f t="shared" si="26"/>
        <v>0</v>
      </c>
    </row>
    <row r="153" spans="2:16" ht="12.5">
      <c r="B153" s="145" t="str">
        <f t="shared" si="10"/>
        <v/>
      </c>
      <c r="C153" s="496">
        <f>IF(D94="","-",+C152+1)</f>
        <v>2071</v>
      </c>
      <c r="D153" s="350">
        <f>IF(F152+SUM(E$100:E152)=D$93,F152,D$93-SUM(E$100:E152))</f>
        <v>0</v>
      </c>
      <c r="E153" s="510">
        <f t="shared" si="17"/>
        <v>0</v>
      </c>
      <c r="F153" s="511">
        <f t="shared" si="18"/>
        <v>0</v>
      </c>
      <c r="G153" s="511">
        <f t="shared" si="19"/>
        <v>0</v>
      </c>
      <c r="H153" s="646">
        <f t="shared" si="20"/>
        <v>0</v>
      </c>
      <c r="I153" s="628">
        <f t="shared" si="21"/>
        <v>0</v>
      </c>
      <c r="J153" s="505">
        <f t="shared" si="23"/>
        <v>0</v>
      </c>
      <c r="K153" s="505"/>
      <c r="L153" s="513"/>
      <c r="M153" s="505">
        <f t="shared" si="24"/>
        <v>0</v>
      </c>
      <c r="N153" s="513"/>
      <c r="O153" s="505">
        <f t="shared" si="25"/>
        <v>0</v>
      </c>
      <c r="P153" s="505">
        <f t="shared" si="26"/>
        <v>0</v>
      </c>
    </row>
    <row r="154" spans="2:16" ht="12.5">
      <c r="B154" s="145" t="str">
        <f t="shared" si="10"/>
        <v/>
      </c>
      <c r="C154" s="496">
        <f>IF(D94="","-",+C153+1)</f>
        <v>2072</v>
      </c>
      <c r="D154" s="350">
        <f>IF(F153+SUM(E$100:E153)=D$93,F153,D$93-SUM(E$100:E153))</f>
        <v>0</v>
      </c>
      <c r="E154" s="510">
        <f t="shared" si="17"/>
        <v>0</v>
      </c>
      <c r="F154" s="511">
        <f t="shared" si="18"/>
        <v>0</v>
      </c>
      <c r="G154" s="511">
        <f t="shared" si="19"/>
        <v>0</v>
      </c>
      <c r="H154" s="646">
        <f t="shared" si="20"/>
        <v>0</v>
      </c>
      <c r="I154" s="628">
        <f t="shared" si="21"/>
        <v>0</v>
      </c>
      <c r="J154" s="505">
        <f t="shared" si="23"/>
        <v>0</v>
      </c>
      <c r="K154" s="505"/>
      <c r="L154" s="513"/>
      <c r="M154" s="505">
        <f t="shared" si="24"/>
        <v>0</v>
      </c>
      <c r="N154" s="513"/>
      <c r="O154" s="505">
        <f t="shared" si="25"/>
        <v>0</v>
      </c>
      <c r="P154" s="505">
        <f t="shared" si="26"/>
        <v>0</v>
      </c>
    </row>
    <row r="155" spans="2:16" ht="13" thickBot="1">
      <c r="B155" s="145" t="str">
        <f t="shared" si="10"/>
        <v/>
      </c>
      <c r="C155" s="525">
        <f>IF(D94="","-",+C154+1)</f>
        <v>2073</v>
      </c>
      <c r="D155" s="636">
        <f>IF(F154+SUM(E$100:E154)=D$93,F154,D$93-SUM(E$100:E154))</f>
        <v>0</v>
      </c>
      <c r="E155" s="527">
        <f t="shared" si="17"/>
        <v>0</v>
      </c>
      <c r="F155" s="528">
        <f t="shared" si="18"/>
        <v>0</v>
      </c>
      <c r="G155" s="528">
        <f t="shared" si="19"/>
        <v>0</v>
      </c>
      <c r="H155" s="646">
        <f t="shared" si="20"/>
        <v>0</v>
      </c>
      <c r="I155" s="624">
        <f t="shared" si="21"/>
        <v>0</v>
      </c>
      <c r="J155" s="532">
        <f t="shared" si="23"/>
        <v>0</v>
      </c>
      <c r="K155" s="505"/>
      <c r="L155" s="531"/>
      <c r="M155" s="532">
        <f t="shared" si="24"/>
        <v>0</v>
      </c>
      <c r="N155" s="531"/>
      <c r="O155" s="532">
        <f t="shared" si="25"/>
        <v>0</v>
      </c>
      <c r="P155" s="532">
        <f t="shared" si="26"/>
        <v>0</v>
      </c>
    </row>
    <row r="156" spans="2:16" ht="12.5">
      <c r="C156" s="350" t="s">
        <v>75</v>
      </c>
      <c r="D156" s="295"/>
      <c r="E156" s="295">
        <f>SUM(E100:E155)</f>
        <v>17093280</v>
      </c>
      <c r="F156" s="295"/>
      <c r="G156" s="295"/>
      <c r="H156" s="295">
        <f>SUM(H100:H155)</f>
        <v>43182641.883192852</v>
      </c>
      <c r="I156" s="295">
        <f>SUM(I100:I155)</f>
        <v>43182641.883192852</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abSelected="1" topLeftCell="A82" zoomScale="85" zoomScaleNormal="85"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19 of 20</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1127928.3671828741</v>
      </c>
      <c r="P5" s="244"/>
    </row>
    <row r="6" spans="1:16" ht="15.5">
      <c r="C6" s="236"/>
      <c r="D6" s="293"/>
      <c r="E6" s="244"/>
      <c r="F6" s="244"/>
      <c r="G6" s="244"/>
      <c r="H6" s="450"/>
      <c r="I6" s="450"/>
      <c r="J6" s="451"/>
      <c r="K6" s="452" t="s">
        <v>243</v>
      </c>
      <c r="L6" s="453"/>
      <c r="M6" s="279"/>
      <c r="N6" s="454">
        <f>VLOOKUP(I10,C17:I73,6)</f>
        <v>1127928.3671828741</v>
      </c>
      <c r="O6" s="244"/>
      <c r="P6" s="244"/>
    </row>
    <row r="7" spans="1:16" ht="13.5" thickBot="1">
      <c r="C7" s="455" t="s">
        <v>46</v>
      </c>
      <c r="D7" s="635" t="s">
        <v>264</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266</v>
      </c>
      <c r="E9" s="466"/>
      <c r="F9" s="466"/>
      <c r="G9" s="466"/>
      <c r="H9" s="466"/>
      <c r="I9" s="467"/>
      <c r="J9" s="468"/>
      <c r="O9" s="469"/>
      <c r="P9" s="279"/>
    </row>
    <row r="10" spans="1:16" ht="13">
      <c r="C10" s="470" t="s">
        <v>49</v>
      </c>
      <c r="D10" s="471">
        <v>8934664</v>
      </c>
      <c r="E10" s="300" t="s">
        <v>50</v>
      </c>
      <c r="F10" s="469"/>
      <c r="G10" s="409"/>
      <c r="H10" s="409"/>
      <c r="I10" s="472">
        <f>+OKT.WS.F.BPU.ATRR.Projected!R100</f>
        <v>2020</v>
      </c>
      <c r="J10" s="468"/>
      <c r="K10" s="295" t="s">
        <v>51</v>
      </c>
      <c r="O10" s="279"/>
      <c r="P10" s="279"/>
    </row>
    <row r="11" spans="1:16" ht="12.5">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5</v>
      </c>
      <c r="E12" s="473" t="s">
        <v>55</v>
      </c>
      <c r="F12" s="409"/>
      <c r="G12" s="221"/>
      <c r="H12" s="221"/>
      <c r="I12" s="477">
        <f>OKT.WS.F.BPU.ATRR.Projected!$F$78</f>
        <v>0.1064171487591708</v>
      </c>
      <c r="J12" s="414"/>
      <c r="K12" s="145" t="s">
        <v>56</v>
      </c>
      <c r="O12" s="279"/>
      <c r="P12" s="279"/>
    </row>
    <row r="13" spans="1:16"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 thickBot="1">
      <c r="C14" s="473" t="s">
        <v>60</v>
      </c>
      <c r="D14" s="474" t="s">
        <v>61</v>
      </c>
      <c r="E14" s="279" t="s">
        <v>62</v>
      </c>
      <c r="F14" s="409"/>
      <c r="G14" s="221"/>
      <c r="H14" s="221"/>
      <c r="I14" s="478">
        <f>IF(D10=0,0,D10/D13)</f>
        <v>262784.23529411765</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2018</v>
      </c>
      <c r="D17" s="615">
        <v>0</v>
      </c>
      <c r="E17" s="614">
        <v>182671.34855253328</v>
      </c>
      <c r="F17" s="615">
        <v>14714328.651447468</v>
      </c>
      <c r="G17" s="614">
        <v>1047072.1407929109</v>
      </c>
      <c r="H17" s="618">
        <v>1047072.1407929109</v>
      </c>
      <c r="I17" s="501">
        <f t="shared" ref="I17:I71" si="1">H17-G17</f>
        <v>0</v>
      </c>
      <c r="J17" s="501"/>
      <c r="K17" s="502">
        <f>+G17</f>
        <v>1047072.1407929109</v>
      </c>
      <c r="L17" s="504">
        <f t="shared" ref="L17:L71" si="2">IF(K17&lt;&gt;0,+G17-K17,0)</f>
        <v>0</v>
      </c>
      <c r="M17" s="502">
        <f>+H17</f>
        <v>1047072.1407929109</v>
      </c>
      <c r="N17" s="504">
        <f t="shared" ref="N17:N71" si="3">IF(M17&lt;&gt;0,+H17-M17,0)</f>
        <v>0</v>
      </c>
      <c r="O17" s="505">
        <f t="shared" ref="O17:O71" si="4">+N17-L17</f>
        <v>0</v>
      </c>
      <c r="P17" s="279"/>
    </row>
    <row r="18" spans="2:16" ht="12.5">
      <c r="B18" s="145" t="str">
        <f t="shared" si="0"/>
        <v/>
      </c>
      <c r="C18" s="496">
        <f>IF(D11="","-",+C17+1)</f>
        <v>2019</v>
      </c>
      <c r="D18" s="615">
        <v>14714328.651447468</v>
      </c>
      <c r="E18" s="614">
        <v>365342.69710506656</v>
      </c>
      <c r="F18" s="615">
        <v>14348985.954342401</v>
      </c>
      <c r="G18" s="614">
        <v>2072682.037245793</v>
      </c>
      <c r="H18" s="618">
        <v>2072682.037245793</v>
      </c>
      <c r="I18" s="501">
        <f t="shared" si="1"/>
        <v>0</v>
      </c>
      <c r="J18" s="501"/>
      <c r="K18" s="593">
        <f>+G18</f>
        <v>2072682.037245793</v>
      </c>
      <c r="L18" s="597">
        <f t="shared" ref="L18" si="5">IF(K18&lt;&gt;0,+G18-K18,0)</f>
        <v>0</v>
      </c>
      <c r="M18" s="593">
        <f>+H18</f>
        <v>2072682.037245793</v>
      </c>
      <c r="N18" s="505">
        <f t="shared" si="3"/>
        <v>0</v>
      </c>
      <c r="O18" s="505">
        <f t="shared" si="4"/>
        <v>0</v>
      </c>
      <c r="P18" s="279"/>
    </row>
    <row r="19" spans="2:16" ht="12.5">
      <c r="B19" s="145" t="str">
        <f t="shared" si="0"/>
        <v>IU</v>
      </c>
      <c r="C19" s="496">
        <f>IF(D11="","-",+C18+1)</f>
        <v>2020</v>
      </c>
      <c r="D19" s="615">
        <v>8386649.9543424007</v>
      </c>
      <c r="E19" s="614">
        <v>261622.86982027246</v>
      </c>
      <c r="F19" s="615">
        <v>8125027.0845221281</v>
      </c>
      <c r="G19" s="614">
        <v>1127928.3671828741</v>
      </c>
      <c r="H19" s="618">
        <v>1127928.3671828741</v>
      </c>
      <c r="I19" s="501">
        <f t="shared" si="1"/>
        <v>0</v>
      </c>
      <c r="J19" s="501"/>
      <c r="K19" s="593">
        <f>+G19</f>
        <v>1127928.3671828741</v>
      </c>
      <c r="L19" s="597">
        <f t="shared" ref="L19" si="6">IF(K19&lt;&gt;0,+G19-K19,0)</f>
        <v>0</v>
      </c>
      <c r="M19" s="593">
        <f>+H19</f>
        <v>1127928.3671828741</v>
      </c>
      <c r="N19" s="505">
        <f t="shared" si="3"/>
        <v>0</v>
      </c>
      <c r="O19" s="505">
        <f t="shared" si="4"/>
        <v>0</v>
      </c>
      <c r="P19" s="279"/>
    </row>
    <row r="20" spans="2:16" ht="12.5">
      <c r="B20" s="145" t="str">
        <f t="shared" si="0"/>
        <v/>
      </c>
      <c r="C20" s="496">
        <f>IF(D11="","-",+C19+1)</f>
        <v>2021</v>
      </c>
      <c r="D20" s="509">
        <f>IF(F19+SUM(E$17:E19)=D$10,F19,D$10-SUM(E$17:E19))</f>
        <v>8125027.0845221281</v>
      </c>
      <c r="E20" s="510">
        <f t="shared" ref="E20" si="7">IF(+I$14&lt;F19,I$14,D20)</f>
        <v>262784.23529411765</v>
      </c>
      <c r="F20" s="511">
        <f t="shared" ref="F20" si="8">+D20-E20</f>
        <v>7862242.8492280105</v>
      </c>
      <c r="G20" s="512">
        <f t="shared" ref="G20" si="9">(D20+F20)/2*I$12+E20</f>
        <v>1113444.0766905711</v>
      </c>
      <c r="H20" s="478">
        <f t="shared" ref="H20" si="10">+(D20+F20)/2*I$13+E20</f>
        <v>1113444.0766905711</v>
      </c>
      <c r="I20" s="501">
        <f t="shared" si="1"/>
        <v>0</v>
      </c>
      <c r="J20" s="501"/>
      <c r="K20" s="513"/>
      <c r="L20" s="505">
        <f t="shared" ref="L20" si="11">IF(K20&lt;&gt;0,+G20-K20,0)</f>
        <v>0</v>
      </c>
      <c r="M20" s="513"/>
      <c r="N20" s="505">
        <f t="shared" ref="N20" si="12">IF(M20&lt;&gt;0,+H20-M20,0)</f>
        <v>0</v>
      </c>
      <c r="O20" s="505">
        <f t="shared" ref="O20" si="13">+N20-L20</f>
        <v>0</v>
      </c>
      <c r="P20" s="279"/>
    </row>
    <row r="21" spans="2:16" ht="12.5">
      <c r="B21" s="145" t="str">
        <f t="shared" si="0"/>
        <v/>
      </c>
      <c r="C21" s="496">
        <f>IF(D11="","-",+C20+1)</f>
        <v>2022</v>
      </c>
      <c r="D21" s="509">
        <f>IF(F20+SUM(E$17:E20)=D$10,F20,D$10-SUM(E$17:E20))</f>
        <v>7862242.8492280105</v>
      </c>
      <c r="E21" s="510">
        <f t="shared" ref="E21:E71" si="14">IF(+I$14&lt;F20,I$14,D21)</f>
        <v>262784.23529411765</v>
      </c>
      <c r="F21" s="511">
        <f t="shared" ref="F21:F71" si="15">+D21-E21</f>
        <v>7599458.6139338929</v>
      </c>
      <c r="G21" s="512">
        <f t="shared" ref="G21:G71" si="16">(D21+F21)/2*I$12+E21</f>
        <v>1085479.3276317122</v>
      </c>
      <c r="H21" s="478">
        <f t="shared" ref="H21:H71" si="17">+(D21+F21)/2*I$13+E21</f>
        <v>1085479.3276317122</v>
      </c>
      <c r="I21" s="501">
        <f t="shared" si="1"/>
        <v>0</v>
      </c>
      <c r="J21" s="501"/>
      <c r="K21" s="513"/>
      <c r="L21" s="505">
        <f t="shared" si="2"/>
        <v>0</v>
      </c>
      <c r="M21" s="513"/>
      <c r="N21" s="505">
        <f t="shared" si="3"/>
        <v>0</v>
      </c>
      <c r="O21" s="505">
        <f t="shared" si="4"/>
        <v>0</v>
      </c>
      <c r="P21" s="279"/>
    </row>
    <row r="22" spans="2:16" ht="12.5">
      <c r="B22" s="145" t="str">
        <f t="shared" si="0"/>
        <v/>
      </c>
      <c r="C22" s="496">
        <f>IF(D11="","-",+C21+1)</f>
        <v>2023</v>
      </c>
      <c r="D22" s="509">
        <f>IF(F21+SUM(E$17:E21)=D$10,F21,D$10-SUM(E$17:E21))</f>
        <v>7599458.6139338929</v>
      </c>
      <c r="E22" s="510">
        <f t="shared" si="14"/>
        <v>262784.23529411765</v>
      </c>
      <c r="F22" s="511">
        <f t="shared" si="15"/>
        <v>7336674.3786397753</v>
      </c>
      <c r="G22" s="512">
        <f t="shared" si="16"/>
        <v>1057514.578572853</v>
      </c>
      <c r="H22" s="478">
        <f t="shared" si="17"/>
        <v>1057514.578572853</v>
      </c>
      <c r="I22" s="501">
        <f t="shared" si="1"/>
        <v>0</v>
      </c>
      <c r="J22" s="501"/>
      <c r="K22" s="513"/>
      <c r="L22" s="505">
        <f t="shared" si="2"/>
        <v>0</v>
      </c>
      <c r="M22" s="513"/>
      <c r="N22" s="505">
        <f t="shared" si="3"/>
        <v>0</v>
      </c>
      <c r="O22" s="505">
        <f t="shared" si="4"/>
        <v>0</v>
      </c>
      <c r="P22" s="279"/>
    </row>
    <row r="23" spans="2:16" ht="12.5">
      <c r="B23" s="145" t="str">
        <f t="shared" si="0"/>
        <v/>
      </c>
      <c r="C23" s="496">
        <f>IF(D11="","-",+C22+1)</f>
        <v>2024</v>
      </c>
      <c r="D23" s="509">
        <f>IF(F22+SUM(E$17:E22)=D$10,F22,D$10-SUM(E$17:E22))</f>
        <v>7336674.3786397753</v>
      </c>
      <c r="E23" s="510">
        <f t="shared" si="14"/>
        <v>262784.23529411765</v>
      </c>
      <c r="F23" s="511">
        <f t="shared" si="15"/>
        <v>7073890.1433456577</v>
      </c>
      <c r="G23" s="512">
        <f t="shared" si="16"/>
        <v>1029549.829513994</v>
      </c>
      <c r="H23" s="478">
        <f t="shared" si="17"/>
        <v>1029549.829513994</v>
      </c>
      <c r="I23" s="501">
        <f t="shared" si="1"/>
        <v>0</v>
      </c>
      <c r="J23" s="501"/>
      <c r="K23" s="513"/>
      <c r="L23" s="505">
        <f t="shared" si="2"/>
        <v>0</v>
      </c>
      <c r="M23" s="513"/>
      <c r="N23" s="505">
        <f t="shared" si="3"/>
        <v>0</v>
      </c>
      <c r="O23" s="505">
        <f t="shared" si="4"/>
        <v>0</v>
      </c>
      <c r="P23" s="279"/>
    </row>
    <row r="24" spans="2:16" ht="12.5">
      <c r="B24" s="145" t="str">
        <f t="shared" si="0"/>
        <v/>
      </c>
      <c r="C24" s="496">
        <f>IF(D11="","-",+C23+1)</f>
        <v>2025</v>
      </c>
      <c r="D24" s="509">
        <f>IF(F23+SUM(E$17:E23)=D$10,F23,D$10-SUM(E$17:E23))</f>
        <v>7073890.1433456577</v>
      </c>
      <c r="E24" s="510">
        <f t="shared" si="14"/>
        <v>262784.23529411765</v>
      </c>
      <c r="F24" s="511">
        <f t="shared" si="15"/>
        <v>6811105.9080515401</v>
      </c>
      <c r="G24" s="512">
        <f t="shared" si="16"/>
        <v>1001585.0804551351</v>
      </c>
      <c r="H24" s="478">
        <f t="shared" si="17"/>
        <v>1001585.0804551351</v>
      </c>
      <c r="I24" s="501">
        <f t="shared" si="1"/>
        <v>0</v>
      </c>
      <c r="J24" s="501"/>
      <c r="K24" s="513"/>
      <c r="L24" s="505">
        <f t="shared" si="2"/>
        <v>0</v>
      </c>
      <c r="M24" s="513"/>
      <c r="N24" s="505">
        <f t="shared" si="3"/>
        <v>0</v>
      </c>
      <c r="O24" s="505">
        <f t="shared" si="4"/>
        <v>0</v>
      </c>
      <c r="P24" s="279"/>
    </row>
    <row r="25" spans="2:16" ht="12.5">
      <c r="B25" s="145" t="str">
        <f t="shared" si="0"/>
        <v/>
      </c>
      <c r="C25" s="496">
        <f>IF(D11="","-",+C24+1)</f>
        <v>2026</v>
      </c>
      <c r="D25" s="509">
        <f>IF(F24+SUM(E$17:E24)=D$10,F24,D$10-SUM(E$17:E24))</f>
        <v>6811105.9080515401</v>
      </c>
      <c r="E25" s="510">
        <f t="shared" si="14"/>
        <v>262784.23529411765</v>
      </c>
      <c r="F25" s="511">
        <f t="shared" si="15"/>
        <v>6548321.6727574226</v>
      </c>
      <c r="G25" s="512">
        <f t="shared" si="16"/>
        <v>973620.33139627613</v>
      </c>
      <c r="H25" s="478">
        <f t="shared" si="17"/>
        <v>973620.33139627613</v>
      </c>
      <c r="I25" s="501">
        <f t="shared" si="1"/>
        <v>0</v>
      </c>
      <c r="J25" s="501"/>
      <c r="K25" s="513"/>
      <c r="L25" s="505">
        <f t="shared" si="2"/>
        <v>0</v>
      </c>
      <c r="M25" s="513"/>
      <c r="N25" s="505">
        <f t="shared" si="3"/>
        <v>0</v>
      </c>
      <c r="O25" s="505">
        <f t="shared" si="4"/>
        <v>0</v>
      </c>
      <c r="P25" s="279"/>
    </row>
    <row r="26" spans="2:16" ht="12.5">
      <c r="B26" s="145" t="str">
        <f t="shared" si="0"/>
        <v/>
      </c>
      <c r="C26" s="496">
        <f>IF(D11="","-",+C25+1)</f>
        <v>2027</v>
      </c>
      <c r="D26" s="509">
        <f>IF(F25+SUM(E$17:E25)=D$10,F25,D$10-SUM(E$17:E25))</f>
        <v>6548321.6727574226</v>
      </c>
      <c r="E26" s="510">
        <f t="shared" si="14"/>
        <v>262784.23529411765</v>
      </c>
      <c r="F26" s="511">
        <f t="shared" si="15"/>
        <v>6285537.437463305</v>
      </c>
      <c r="G26" s="512">
        <f t="shared" si="16"/>
        <v>945655.58233741694</v>
      </c>
      <c r="H26" s="478">
        <f t="shared" si="17"/>
        <v>945655.58233741694</v>
      </c>
      <c r="I26" s="501">
        <f t="shared" si="1"/>
        <v>0</v>
      </c>
      <c r="J26" s="501"/>
      <c r="K26" s="513"/>
      <c r="L26" s="505">
        <f t="shared" si="2"/>
        <v>0</v>
      </c>
      <c r="M26" s="513"/>
      <c r="N26" s="505">
        <f t="shared" si="3"/>
        <v>0</v>
      </c>
      <c r="O26" s="505">
        <f t="shared" si="4"/>
        <v>0</v>
      </c>
      <c r="P26" s="279"/>
    </row>
    <row r="27" spans="2:16" ht="12.5">
      <c r="B27" s="145" t="str">
        <f t="shared" si="0"/>
        <v/>
      </c>
      <c r="C27" s="496">
        <f>IF(D11="","-",+C26+1)</f>
        <v>2028</v>
      </c>
      <c r="D27" s="509">
        <f>IF(F26+SUM(E$17:E26)=D$10,F26,D$10-SUM(E$17:E26))</f>
        <v>6285537.437463305</v>
      </c>
      <c r="E27" s="510">
        <f t="shared" si="14"/>
        <v>262784.23529411765</v>
      </c>
      <c r="F27" s="511">
        <f t="shared" si="15"/>
        <v>6022753.2021691874</v>
      </c>
      <c r="G27" s="512">
        <f t="shared" si="16"/>
        <v>917690.83327855798</v>
      </c>
      <c r="H27" s="478">
        <f t="shared" si="17"/>
        <v>917690.83327855798</v>
      </c>
      <c r="I27" s="501">
        <f t="shared" si="1"/>
        <v>0</v>
      </c>
      <c r="J27" s="501"/>
      <c r="K27" s="513"/>
      <c r="L27" s="505">
        <f t="shared" si="2"/>
        <v>0</v>
      </c>
      <c r="M27" s="513"/>
      <c r="N27" s="505">
        <f t="shared" si="3"/>
        <v>0</v>
      </c>
      <c r="O27" s="505">
        <f t="shared" si="4"/>
        <v>0</v>
      </c>
      <c r="P27" s="279"/>
    </row>
    <row r="28" spans="2:16" ht="12.5">
      <c r="B28" s="145" t="str">
        <f t="shared" si="0"/>
        <v/>
      </c>
      <c r="C28" s="496">
        <f>IF(D11="","-",+C27+1)</f>
        <v>2029</v>
      </c>
      <c r="D28" s="509">
        <f>IF(F27+SUM(E$17:E27)=D$10,F27,D$10-SUM(E$17:E27))</f>
        <v>6022753.2021691874</v>
      </c>
      <c r="E28" s="510">
        <f t="shared" si="14"/>
        <v>262784.23529411765</v>
      </c>
      <c r="F28" s="511">
        <f t="shared" si="15"/>
        <v>5759968.9668750698</v>
      </c>
      <c r="G28" s="512">
        <f t="shared" si="16"/>
        <v>889726.08421969879</v>
      </c>
      <c r="H28" s="478">
        <f t="shared" si="17"/>
        <v>889726.08421969879</v>
      </c>
      <c r="I28" s="501">
        <f t="shared" si="1"/>
        <v>0</v>
      </c>
      <c r="J28" s="501"/>
      <c r="K28" s="513"/>
      <c r="L28" s="505">
        <f t="shared" si="2"/>
        <v>0</v>
      </c>
      <c r="M28" s="513"/>
      <c r="N28" s="505">
        <f t="shared" si="3"/>
        <v>0</v>
      </c>
      <c r="O28" s="505">
        <f t="shared" si="4"/>
        <v>0</v>
      </c>
      <c r="P28" s="279"/>
    </row>
    <row r="29" spans="2:16" ht="12.5">
      <c r="B29" s="145" t="str">
        <f t="shared" si="0"/>
        <v/>
      </c>
      <c r="C29" s="496">
        <f>IF(D11="","-",+C28+1)</f>
        <v>2030</v>
      </c>
      <c r="D29" s="509">
        <f>IF(F28+SUM(E$17:E28)=D$10,F28,D$10-SUM(E$17:E28))</f>
        <v>5759968.9668750698</v>
      </c>
      <c r="E29" s="510">
        <f t="shared" si="14"/>
        <v>262784.23529411765</v>
      </c>
      <c r="F29" s="511">
        <f t="shared" si="15"/>
        <v>5497184.7315809522</v>
      </c>
      <c r="G29" s="512">
        <f t="shared" si="16"/>
        <v>861761.33516083984</v>
      </c>
      <c r="H29" s="478">
        <f t="shared" si="17"/>
        <v>861761.33516083984</v>
      </c>
      <c r="I29" s="501">
        <f t="shared" si="1"/>
        <v>0</v>
      </c>
      <c r="J29" s="501"/>
      <c r="K29" s="513"/>
      <c r="L29" s="505">
        <f t="shared" si="2"/>
        <v>0</v>
      </c>
      <c r="M29" s="513"/>
      <c r="N29" s="505">
        <f t="shared" si="3"/>
        <v>0</v>
      </c>
      <c r="O29" s="505">
        <f t="shared" si="4"/>
        <v>0</v>
      </c>
      <c r="P29" s="279"/>
    </row>
    <row r="30" spans="2:16" ht="12.5">
      <c r="B30" s="145" t="str">
        <f t="shared" si="0"/>
        <v/>
      </c>
      <c r="C30" s="496">
        <f>IF(D11="","-",+C29+1)</f>
        <v>2031</v>
      </c>
      <c r="D30" s="509">
        <f>IF(F29+SUM(E$17:E29)=D$10,F29,D$10-SUM(E$17:E29))</f>
        <v>5497184.7315809522</v>
      </c>
      <c r="E30" s="510">
        <f t="shared" si="14"/>
        <v>262784.23529411765</v>
      </c>
      <c r="F30" s="511">
        <f t="shared" si="15"/>
        <v>5234400.4962868346</v>
      </c>
      <c r="G30" s="512">
        <f t="shared" si="16"/>
        <v>833796.58610198065</v>
      </c>
      <c r="H30" s="478">
        <f t="shared" si="17"/>
        <v>833796.58610198065</v>
      </c>
      <c r="I30" s="501">
        <f t="shared" si="1"/>
        <v>0</v>
      </c>
      <c r="J30" s="501"/>
      <c r="K30" s="513"/>
      <c r="L30" s="505">
        <f t="shared" si="2"/>
        <v>0</v>
      </c>
      <c r="M30" s="513"/>
      <c r="N30" s="505">
        <f t="shared" si="3"/>
        <v>0</v>
      </c>
      <c r="O30" s="505">
        <f t="shared" si="4"/>
        <v>0</v>
      </c>
      <c r="P30" s="279"/>
    </row>
    <row r="31" spans="2:16" ht="12.5">
      <c r="B31" s="145" t="str">
        <f t="shared" si="0"/>
        <v/>
      </c>
      <c r="C31" s="496">
        <f>IF(D11="","-",+C30+1)</f>
        <v>2032</v>
      </c>
      <c r="D31" s="509">
        <f>IF(F30+SUM(E$17:E30)=D$10,F30,D$10-SUM(E$17:E30))</f>
        <v>5234400.4962868346</v>
      </c>
      <c r="E31" s="510">
        <f t="shared" si="14"/>
        <v>262784.23529411765</v>
      </c>
      <c r="F31" s="511">
        <f t="shared" si="15"/>
        <v>4971616.260992717</v>
      </c>
      <c r="G31" s="512">
        <f t="shared" si="16"/>
        <v>805831.83704312169</v>
      </c>
      <c r="H31" s="478">
        <f t="shared" si="17"/>
        <v>805831.83704312169</v>
      </c>
      <c r="I31" s="501">
        <f t="shared" si="1"/>
        <v>0</v>
      </c>
      <c r="J31" s="501"/>
      <c r="K31" s="513"/>
      <c r="L31" s="505">
        <f t="shared" si="2"/>
        <v>0</v>
      </c>
      <c r="M31" s="513"/>
      <c r="N31" s="505">
        <f t="shared" si="3"/>
        <v>0</v>
      </c>
      <c r="O31" s="505">
        <f t="shared" si="4"/>
        <v>0</v>
      </c>
      <c r="P31" s="279"/>
    </row>
    <row r="32" spans="2:16" ht="12.5">
      <c r="B32" s="145" t="str">
        <f t="shared" si="0"/>
        <v/>
      </c>
      <c r="C32" s="496">
        <f>IF(D11="","-",+C31+1)</f>
        <v>2033</v>
      </c>
      <c r="D32" s="509">
        <f>IF(F31+SUM(E$17:E31)=D$10,F31,D$10-SUM(E$17:E31))</f>
        <v>4971616.260992717</v>
      </c>
      <c r="E32" s="510">
        <f t="shared" si="14"/>
        <v>262784.23529411765</v>
      </c>
      <c r="F32" s="511">
        <f t="shared" si="15"/>
        <v>4708832.0256985994</v>
      </c>
      <c r="G32" s="512">
        <f t="shared" si="16"/>
        <v>777867.0879842625</v>
      </c>
      <c r="H32" s="478">
        <f t="shared" si="17"/>
        <v>777867.0879842625</v>
      </c>
      <c r="I32" s="501">
        <f t="shared" si="1"/>
        <v>0</v>
      </c>
      <c r="J32" s="501"/>
      <c r="K32" s="513"/>
      <c r="L32" s="505">
        <f t="shared" si="2"/>
        <v>0</v>
      </c>
      <c r="M32" s="513"/>
      <c r="N32" s="505">
        <f t="shared" si="3"/>
        <v>0</v>
      </c>
      <c r="O32" s="505">
        <f t="shared" si="4"/>
        <v>0</v>
      </c>
      <c r="P32" s="279"/>
    </row>
    <row r="33" spans="2:16" ht="12.5">
      <c r="B33" s="145" t="str">
        <f t="shared" si="0"/>
        <v/>
      </c>
      <c r="C33" s="496">
        <f>IF(D11="","-",+C32+1)</f>
        <v>2034</v>
      </c>
      <c r="D33" s="509">
        <f>IF(F32+SUM(E$17:E32)=D$10,F32,D$10-SUM(E$17:E32))</f>
        <v>4708832.0256985994</v>
      </c>
      <c r="E33" s="510">
        <f t="shared" si="14"/>
        <v>262784.23529411765</v>
      </c>
      <c r="F33" s="511">
        <f t="shared" si="15"/>
        <v>4446047.7904044818</v>
      </c>
      <c r="G33" s="512">
        <f t="shared" si="16"/>
        <v>749902.33892540354</v>
      </c>
      <c r="H33" s="478">
        <f t="shared" si="17"/>
        <v>749902.33892540354</v>
      </c>
      <c r="I33" s="501">
        <f t="shared" si="1"/>
        <v>0</v>
      </c>
      <c r="J33" s="501"/>
      <c r="K33" s="513"/>
      <c r="L33" s="505">
        <f t="shared" si="2"/>
        <v>0</v>
      </c>
      <c r="M33" s="513"/>
      <c r="N33" s="505">
        <f t="shared" si="3"/>
        <v>0</v>
      </c>
      <c r="O33" s="505">
        <f t="shared" si="4"/>
        <v>0</v>
      </c>
      <c r="P33" s="279"/>
    </row>
    <row r="34" spans="2:16" ht="12.5">
      <c r="B34" s="145" t="str">
        <f t="shared" si="0"/>
        <v/>
      </c>
      <c r="C34" s="496">
        <f>IF(D11="","-",+C33+1)</f>
        <v>2035</v>
      </c>
      <c r="D34" s="509">
        <f>IF(F33+SUM(E$17:E33)=D$10,F33,D$10-SUM(E$17:E33))</f>
        <v>4446047.7904044818</v>
      </c>
      <c r="E34" s="510">
        <f t="shared" si="14"/>
        <v>262784.23529411765</v>
      </c>
      <c r="F34" s="511">
        <f t="shared" si="15"/>
        <v>4183263.5551103642</v>
      </c>
      <c r="G34" s="512">
        <f t="shared" si="16"/>
        <v>721937.58986654447</v>
      </c>
      <c r="H34" s="478">
        <f t="shared" si="17"/>
        <v>721937.58986654447</v>
      </c>
      <c r="I34" s="501">
        <f t="shared" si="1"/>
        <v>0</v>
      </c>
      <c r="J34" s="501"/>
      <c r="K34" s="513"/>
      <c r="L34" s="505">
        <f t="shared" si="2"/>
        <v>0</v>
      </c>
      <c r="M34" s="513"/>
      <c r="N34" s="505">
        <f t="shared" si="3"/>
        <v>0</v>
      </c>
      <c r="O34" s="505">
        <f t="shared" si="4"/>
        <v>0</v>
      </c>
      <c r="P34" s="279"/>
    </row>
    <row r="35" spans="2:16" ht="12.5">
      <c r="B35" s="145" t="str">
        <f t="shared" si="0"/>
        <v/>
      </c>
      <c r="C35" s="496">
        <f>IF(D11="","-",+C34+1)</f>
        <v>2036</v>
      </c>
      <c r="D35" s="509">
        <f>IF(F34+SUM(E$17:E34)=D$10,F34,D$10-SUM(E$17:E34))</f>
        <v>4183263.5551103642</v>
      </c>
      <c r="E35" s="510">
        <f t="shared" si="14"/>
        <v>262784.23529411765</v>
      </c>
      <c r="F35" s="511">
        <f t="shared" si="15"/>
        <v>3920479.3198162466</v>
      </c>
      <c r="G35" s="512">
        <f t="shared" si="16"/>
        <v>693972.8408076854</v>
      </c>
      <c r="H35" s="478">
        <f t="shared" si="17"/>
        <v>693972.8408076854</v>
      </c>
      <c r="I35" s="501">
        <f t="shared" si="1"/>
        <v>0</v>
      </c>
      <c r="J35" s="501"/>
      <c r="K35" s="513"/>
      <c r="L35" s="505">
        <f t="shared" si="2"/>
        <v>0</v>
      </c>
      <c r="M35" s="513"/>
      <c r="N35" s="505">
        <f t="shared" si="3"/>
        <v>0</v>
      </c>
      <c r="O35" s="505">
        <f t="shared" si="4"/>
        <v>0</v>
      </c>
      <c r="P35" s="279"/>
    </row>
    <row r="36" spans="2:16" ht="12.5">
      <c r="B36" s="145" t="str">
        <f t="shared" si="0"/>
        <v/>
      </c>
      <c r="C36" s="496">
        <f>IF(D11="","-",+C35+1)</f>
        <v>2037</v>
      </c>
      <c r="D36" s="509">
        <f>IF(F35+SUM(E$17:E35)=D$10,F35,D$10-SUM(E$17:E35))</f>
        <v>3920479.3198162466</v>
      </c>
      <c r="E36" s="510">
        <f t="shared" si="14"/>
        <v>262784.23529411765</v>
      </c>
      <c r="F36" s="511">
        <f t="shared" si="15"/>
        <v>3657695.084522129</v>
      </c>
      <c r="G36" s="512">
        <f t="shared" si="16"/>
        <v>666008.09174882644</v>
      </c>
      <c r="H36" s="478">
        <f t="shared" si="17"/>
        <v>666008.09174882644</v>
      </c>
      <c r="I36" s="501">
        <f t="shared" si="1"/>
        <v>0</v>
      </c>
      <c r="J36" s="501"/>
      <c r="K36" s="513"/>
      <c r="L36" s="505">
        <f t="shared" si="2"/>
        <v>0</v>
      </c>
      <c r="M36" s="513"/>
      <c r="N36" s="505">
        <f t="shared" si="3"/>
        <v>0</v>
      </c>
      <c r="O36" s="505">
        <f t="shared" si="4"/>
        <v>0</v>
      </c>
      <c r="P36" s="279"/>
    </row>
    <row r="37" spans="2:16" ht="12.5">
      <c r="B37" s="145" t="str">
        <f t="shared" si="0"/>
        <v/>
      </c>
      <c r="C37" s="496">
        <f>IF(D11="","-",+C36+1)</f>
        <v>2038</v>
      </c>
      <c r="D37" s="509">
        <f>IF(F36+SUM(E$17:E36)=D$10,F36,D$10-SUM(E$17:E36))</f>
        <v>3657695.084522129</v>
      </c>
      <c r="E37" s="510">
        <f t="shared" si="14"/>
        <v>262784.23529411765</v>
      </c>
      <c r="F37" s="511">
        <f t="shared" si="15"/>
        <v>3394910.8492280114</v>
      </c>
      <c r="G37" s="512">
        <f t="shared" si="16"/>
        <v>638043.34268996737</v>
      </c>
      <c r="H37" s="478">
        <f t="shared" si="17"/>
        <v>638043.34268996737</v>
      </c>
      <c r="I37" s="501">
        <f t="shared" si="1"/>
        <v>0</v>
      </c>
      <c r="J37" s="501"/>
      <c r="K37" s="513"/>
      <c r="L37" s="505">
        <f t="shared" si="2"/>
        <v>0</v>
      </c>
      <c r="M37" s="513"/>
      <c r="N37" s="505">
        <f t="shared" si="3"/>
        <v>0</v>
      </c>
      <c r="O37" s="505">
        <f t="shared" si="4"/>
        <v>0</v>
      </c>
      <c r="P37" s="279"/>
    </row>
    <row r="38" spans="2:16" ht="12.5">
      <c r="B38" s="145" t="str">
        <f t="shared" si="0"/>
        <v/>
      </c>
      <c r="C38" s="496">
        <f>IF(D11="","-",+C37+1)</f>
        <v>2039</v>
      </c>
      <c r="D38" s="509">
        <f>IF(F37+SUM(E$17:E37)=D$10,F37,D$10-SUM(E$17:E37))</f>
        <v>3394910.8492280114</v>
      </c>
      <c r="E38" s="510">
        <f t="shared" si="14"/>
        <v>262784.23529411765</v>
      </c>
      <c r="F38" s="511">
        <f t="shared" si="15"/>
        <v>3132126.6139338939</v>
      </c>
      <c r="G38" s="512">
        <f t="shared" si="16"/>
        <v>610078.59363110829</v>
      </c>
      <c r="H38" s="478">
        <f t="shared" si="17"/>
        <v>610078.59363110829</v>
      </c>
      <c r="I38" s="501">
        <f t="shared" si="1"/>
        <v>0</v>
      </c>
      <c r="J38" s="501"/>
      <c r="K38" s="513"/>
      <c r="L38" s="505">
        <f t="shared" si="2"/>
        <v>0</v>
      </c>
      <c r="M38" s="513"/>
      <c r="N38" s="505">
        <f t="shared" si="3"/>
        <v>0</v>
      </c>
      <c r="O38" s="505">
        <f t="shared" si="4"/>
        <v>0</v>
      </c>
      <c r="P38" s="279"/>
    </row>
    <row r="39" spans="2:16" ht="12.5">
      <c r="B39" s="145" t="str">
        <f t="shared" si="0"/>
        <v/>
      </c>
      <c r="C39" s="496">
        <f>IF(D11="","-",+C38+1)</f>
        <v>2040</v>
      </c>
      <c r="D39" s="509">
        <f>IF(F38+SUM(E$17:E38)=D$10,F38,D$10-SUM(E$17:E38))</f>
        <v>3132126.6139338939</v>
      </c>
      <c r="E39" s="510">
        <f t="shared" si="14"/>
        <v>262784.23529411765</v>
      </c>
      <c r="F39" s="511">
        <f t="shared" si="15"/>
        <v>2869342.3786397763</v>
      </c>
      <c r="G39" s="512">
        <f t="shared" si="16"/>
        <v>582113.84457224922</v>
      </c>
      <c r="H39" s="478">
        <f t="shared" si="17"/>
        <v>582113.84457224922</v>
      </c>
      <c r="I39" s="501">
        <f t="shared" si="1"/>
        <v>0</v>
      </c>
      <c r="J39" s="501"/>
      <c r="K39" s="513"/>
      <c r="L39" s="505">
        <f t="shared" si="2"/>
        <v>0</v>
      </c>
      <c r="M39" s="513"/>
      <c r="N39" s="505">
        <f t="shared" si="3"/>
        <v>0</v>
      </c>
      <c r="O39" s="505">
        <f t="shared" si="4"/>
        <v>0</v>
      </c>
      <c r="P39" s="279"/>
    </row>
    <row r="40" spans="2:16" ht="12.5">
      <c r="B40" s="145" t="str">
        <f t="shared" si="0"/>
        <v/>
      </c>
      <c r="C40" s="496">
        <f>IF(D11="","-",+C39+1)</f>
        <v>2041</v>
      </c>
      <c r="D40" s="509">
        <f>IF(F39+SUM(E$17:E39)=D$10,F39,D$10-SUM(E$17:E39))</f>
        <v>2869342.3786397763</v>
      </c>
      <c r="E40" s="510">
        <f t="shared" si="14"/>
        <v>262784.23529411765</v>
      </c>
      <c r="F40" s="511">
        <f t="shared" si="15"/>
        <v>2606558.1433456587</v>
      </c>
      <c r="G40" s="512">
        <f t="shared" si="16"/>
        <v>554149.09551339014</v>
      </c>
      <c r="H40" s="478">
        <f t="shared" si="17"/>
        <v>554149.09551339014</v>
      </c>
      <c r="I40" s="501">
        <f t="shared" si="1"/>
        <v>0</v>
      </c>
      <c r="J40" s="501"/>
      <c r="K40" s="513"/>
      <c r="L40" s="505">
        <f t="shared" si="2"/>
        <v>0</v>
      </c>
      <c r="M40" s="513"/>
      <c r="N40" s="505">
        <f t="shared" si="3"/>
        <v>0</v>
      </c>
      <c r="O40" s="505">
        <f t="shared" si="4"/>
        <v>0</v>
      </c>
      <c r="P40" s="279"/>
    </row>
    <row r="41" spans="2:16" ht="12.5">
      <c r="B41" s="145" t="str">
        <f t="shared" si="0"/>
        <v/>
      </c>
      <c r="C41" s="496">
        <f>IF(D11="","-",+C40+1)</f>
        <v>2042</v>
      </c>
      <c r="D41" s="509">
        <f>IF(F40+SUM(E$17:E40)=D$10,F40,D$10-SUM(E$17:E40))</f>
        <v>2606558.1433456587</v>
      </c>
      <c r="E41" s="510">
        <f t="shared" si="14"/>
        <v>262784.23529411765</v>
      </c>
      <c r="F41" s="511">
        <f t="shared" si="15"/>
        <v>2343773.9080515411</v>
      </c>
      <c r="G41" s="512">
        <f t="shared" si="16"/>
        <v>526184.34645453119</v>
      </c>
      <c r="H41" s="478">
        <f t="shared" si="17"/>
        <v>526184.34645453119</v>
      </c>
      <c r="I41" s="501">
        <f t="shared" si="1"/>
        <v>0</v>
      </c>
      <c r="J41" s="501"/>
      <c r="K41" s="513"/>
      <c r="L41" s="505">
        <f t="shared" si="2"/>
        <v>0</v>
      </c>
      <c r="M41" s="513"/>
      <c r="N41" s="505">
        <f t="shared" si="3"/>
        <v>0</v>
      </c>
      <c r="O41" s="505">
        <f t="shared" si="4"/>
        <v>0</v>
      </c>
      <c r="P41" s="279"/>
    </row>
    <row r="42" spans="2:16" ht="12.5">
      <c r="B42" s="145" t="str">
        <f t="shared" si="0"/>
        <v/>
      </c>
      <c r="C42" s="496">
        <f>IF(D11="","-",+C41+1)</f>
        <v>2043</v>
      </c>
      <c r="D42" s="509">
        <f>IF(F41+SUM(E$17:E41)=D$10,F41,D$10-SUM(E$17:E41))</f>
        <v>2343773.9080515411</v>
      </c>
      <c r="E42" s="510">
        <f t="shared" si="14"/>
        <v>262784.23529411765</v>
      </c>
      <c r="F42" s="511">
        <f t="shared" si="15"/>
        <v>2080989.6727574235</v>
      </c>
      <c r="G42" s="512">
        <f t="shared" si="16"/>
        <v>498219.59739567211</v>
      </c>
      <c r="H42" s="478">
        <f t="shared" si="17"/>
        <v>498219.59739567211</v>
      </c>
      <c r="I42" s="501">
        <f t="shared" si="1"/>
        <v>0</v>
      </c>
      <c r="J42" s="501"/>
      <c r="K42" s="513"/>
      <c r="L42" s="505">
        <f t="shared" si="2"/>
        <v>0</v>
      </c>
      <c r="M42" s="513"/>
      <c r="N42" s="505">
        <f t="shared" si="3"/>
        <v>0</v>
      </c>
      <c r="O42" s="505">
        <f t="shared" si="4"/>
        <v>0</v>
      </c>
      <c r="P42" s="279"/>
    </row>
    <row r="43" spans="2:16" ht="12.5">
      <c r="B43" s="145" t="str">
        <f t="shared" si="0"/>
        <v/>
      </c>
      <c r="C43" s="496">
        <f>IF(D11="","-",+C42+1)</f>
        <v>2044</v>
      </c>
      <c r="D43" s="509">
        <f>IF(F42+SUM(E$17:E42)=D$10,F42,D$10-SUM(E$17:E42))</f>
        <v>2080989.6727574235</v>
      </c>
      <c r="E43" s="510">
        <f t="shared" si="14"/>
        <v>262784.23529411765</v>
      </c>
      <c r="F43" s="511">
        <f t="shared" si="15"/>
        <v>1818205.4374633059</v>
      </c>
      <c r="G43" s="512">
        <f t="shared" si="16"/>
        <v>470254.84833681304</v>
      </c>
      <c r="H43" s="478">
        <f t="shared" si="17"/>
        <v>470254.84833681304</v>
      </c>
      <c r="I43" s="501">
        <f t="shared" si="1"/>
        <v>0</v>
      </c>
      <c r="J43" s="501"/>
      <c r="K43" s="513"/>
      <c r="L43" s="505">
        <f t="shared" si="2"/>
        <v>0</v>
      </c>
      <c r="M43" s="513"/>
      <c r="N43" s="505">
        <f t="shared" si="3"/>
        <v>0</v>
      </c>
      <c r="O43" s="505">
        <f t="shared" si="4"/>
        <v>0</v>
      </c>
      <c r="P43" s="279"/>
    </row>
    <row r="44" spans="2:16" ht="12.5">
      <c r="B44" s="145" t="str">
        <f t="shared" si="0"/>
        <v/>
      </c>
      <c r="C44" s="496">
        <f>IF(D11="","-",+C43+1)</f>
        <v>2045</v>
      </c>
      <c r="D44" s="509">
        <f>IF(F43+SUM(E$17:E43)=D$10,F43,D$10-SUM(E$17:E43))</f>
        <v>1818205.4374633059</v>
      </c>
      <c r="E44" s="510">
        <f t="shared" si="14"/>
        <v>262784.23529411765</v>
      </c>
      <c r="F44" s="511">
        <f t="shared" si="15"/>
        <v>1555421.2021691883</v>
      </c>
      <c r="G44" s="512">
        <f t="shared" si="16"/>
        <v>442290.09927795397</v>
      </c>
      <c r="H44" s="478">
        <f t="shared" si="17"/>
        <v>442290.09927795397</v>
      </c>
      <c r="I44" s="501">
        <f t="shared" si="1"/>
        <v>0</v>
      </c>
      <c r="J44" s="501"/>
      <c r="K44" s="513"/>
      <c r="L44" s="505">
        <f t="shared" si="2"/>
        <v>0</v>
      </c>
      <c r="M44" s="513"/>
      <c r="N44" s="505">
        <f t="shared" si="3"/>
        <v>0</v>
      </c>
      <c r="O44" s="505">
        <f t="shared" si="4"/>
        <v>0</v>
      </c>
      <c r="P44" s="279"/>
    </row>
    <row r="45" spans="2:16" ht="12.5">
      <c r="B45" s="145" t="str">
        <f t="shared" si="0"/>
        <v/>
      </c>
      <c r="C45" s="496">
        <f>IF(D11="","-",+C44+1)</f>
        <v>2046</v>
      </c>
      <c r="D45" s="509">
        <f>IF(F44+SUM(E$17:E44)=D$10,F44,D$10-SUM(E$17:E44))</f>
        <v>1555421.2021691883</v>
      </c>
      <c r="E45" s="510">
        <f t="shared" si="14"/>
        <v>262784.23529411765</v>
      </c>
      <c r="F45" s="511">
        <f t="shared" si="15"/>
        <v>1292636.9668750707</v>
      </c>
      <c r="G45" s="512">
        <f t="shared" si="16"/>
        <v>414325.35021909489</v>
      </c>
      <c r="H45" s="478">
        <f t="shared" si="17"/>
        <v>414325.35021909489</v>
      </c>
      <c r="I45" s="501">
        <f t="shared" si="1"/>
        <v>0</v>
      </c>
      <c r="J45" s="501"/>
      <c r="K45" s="513"/>
      <c r="L45" s="505">
        <f t="shared" si="2"/>
        <v>0</v>
      </c>
      <c r="M45" s="513"/>
      <c r="N45" s="505">
        <f t="shared" si="3"/>
        <v>0</v>
      </c>
      <c r="O45" s="505">
        <f t="shared" si="4"/>
        <v>0</v>
      </c>
      <c r="P45" s="279"/>
    </row>
    <row r="46" spans="2:16" ht="12.5">
      <c r="B46" s="145" t="str">
        <f t="shared" si="0"/>
        <v/>
      </c>
      <c r="C46" s="496">
        <f>IF(D11="","-",+C45+1)</f>
        <v>2047</v>
      </c>
      <c r="D46" s="509">
        <f>IF(F45+SUM(E$17:E45)=D$10,F45,D$10-SUM(E$17:E45))</f>
        <v>1292636.9668750707</v>
      </c>
      <c r="E46" s="510">
        <f t="shared" si="14"/>
        <v>262784.23529411765</v>
      </c>
      <c r="F46" s="511">
        <f t="shared" si="15"/>
        <v>1029852.7315809531</v>
      </c>
      <c r="G46" s="512">
        <f t="shared" si="16"/>
        <v>386360.60116023588</v>
      </c>
      <c r="H46" s="478">
        <f t="shared" si="17"/>
        <v>386360.60116023588</v>
      </c>
      <c r="I46" s="501">
        <f t="shared" si="1"/>
        <v>0</v>
      </c>
      <c r="J46" s="501"/>
      <c r="K46" s="513"/>
      <c r="L46" s="505">
        <f t="shared" si="2"/>
        <v>0</v>
      </c>
      <c r="M46" s="513"/>
      <c r="N46" s="505">
        <f t="shared" si="3"/>
        <v>0</v>
      </c>
      <c r="O46" s="505">
        <f t="shared" si="4"/>
        <v>0</v>
      </c>
      <c r="P46" s="279"/>
    </row>
    <row r="47" spans="2:16" ht="12.5">
      <c r="B47" s="145" t="str">
        <f t="shared" si="0"/>
        <v/>
      </c>
      <c r="C47" s="496">
        <f>IF(D11="","-",+C46+1)</f>
        <v>2048</v>
      </c>
      <c r="D47" s="509">
        <f>IF(F46+SUM(E$17:E46)=D$10,F46,D$10-SUM(E$17:E46))</f>
        <v>1029852.7315809531</v>
      </c>
      <c r="E47" s="510">
        <f t="shared" si="14"/>
        <v>262784.23529411765</v>
      </c>
      <c r="F47" s="511">
        <f t="shared" si="15"/>
        <v>767068.49628683552</v>
      </c>
      <c r="G47" s="512">
        <f t="shared" si="16"/>
        <v>358395.8521013768</v>
      </c>
      <c r="H47" s="478">
        <f t="shared" si="17"/>
        <v>358395.8521013768</v>
      </c>
      <c r="I47" s="501">
        <f t="shared" si="1"/>
        <v>0</v>
      </c>
      <c r="J47" s="501"/>
      <c r="K47" s="513"/>
      <c r="L47" s="505">
        <f t="shared" si="2"/>
        <v>0</v>
      </c>
      <c r="M47" s="513"/>
      <c r="N47" s="505">
        <f t="shared" si="3"/>
        <v>0</v>
      </c>
      <c r="O47" s="505">
        <f t="shared" si="4"/>
        <v>0</v>
      </c>
      <c r="P47" s="279"/>
    </row>
    <row r="48" spans="2:16" ht="12.5">
      <c r="B48" s="145" t="str">
        <f t="shared" si="0"/>
        <v/>
      </c>
      <c r="C48" s="496">
        <f>IF(D11="","-",+C47+1)</f>
        <v>2049</v>
      </c>
      <c r="D48" s="509">
        <f>IF(F47+SUM(E$17:E47)=D$10,F47,D$10-SUM(E$17:E47))</f>
        <v>767068.49628683552</v>
      </c>
      <c r="E48" s="510">
        <f t="shared" si="14"/>
        <v>262784.23529411765</v>
      </c>
      <c r="F48" s="511">
        <f t="shared" si="15"/>
        <v>504284.26099271787</v>
      </c>
      <c r="G48" s="512">
        <f t="shared" si="16"/>
        <v>330431.10304251779</v>
      </c>
      <c r="H48" s="478">
        <f t="shared" si="17"/>
        <v>330431.10304251779</v>
      </c>
      <c r="I48" s="501">
        <f t="shared" si="1"/>
        <v>0</v>
      </c>
      <c r="J48" s="501"/>
      <c r="K48" s="513"/>
      <c r="L48" s="505">
        <f t="shared" si="2"/>
        <v>0</v>
      </c>
      <c r="M48" s="513"/>
      <c r="N48" s="505">
        <f t="shared" si="3"/>
        <v>0</v>
      </c>
      <c r="O48" s="505">
        <f t="shared" si="4"/>
        <v>0</v>
      </c>
      <c r="P48" s="279"/>
    </row>
    <row r="49" spans="2:16" ht="12.5">
      <c r="B49" s="145" t="str">
        <f t="shared" si="0"/>
        <v/>
      </c>
      <c r="C49" s="496">
        <f>IF(D11="","-",+C48+1)</f>
        <v>2050</v>
      </c>
      <c r="D49" s="509">
        <f>IF(F48+SUM(E$17:E48)=D$10,F48,D$10-SUM(E$17:E48))</f>
        <v>504284.26099271787</v>
      </c>
      <c r="E49" s="510">
        <f t="shared" si="14"/>
        <v>262784.23529411765</v>
      </c>
      <c r="F49" s="511">
        <f t="shared" si="15"/>
        <v>241500.02569860022</v>
      </c>
      <c r="G49" s="512">
        <f t="shared" si="16"/>
        <v>302466.35398365872</v>
      </c>
      <c r="H49" s="478">
        <f t="shared" si="17"/>
        <v>302466.35398365872</v>
      </c>
      <c r="I49" s="501">
        <f t="shared" si="1"/>
        <v>0</v>
      </c>
      <c r="J49" s="501"/>
      <c r="K49" s="513"/>
      <c r="L49" s="505">
        <f t="shared" si="2"/>
        <v>0</v>
      </c>
      <c r="M49" s="513"/>
      <c r="N49" s="505">
        <f t="shared" si="3"/>
        <v>0</v>
      </c>
      <c r="O49" s="505">
        <f t="shared" si="4"/>
        <v>0</v>
      </c>
      <c r="P49" s="279"/>
    </row>
    <row r="50" spans="2:16" ht="12.5">
      <c r="B50" s="145" t="str">
        <f t="shared" si="0"/>
        <v/>
      </c>
      <c r="C50" s="496">
        <f>IF(D11="","-",+C49+1)</f>
        <v>2051</v>
      </c>
      <c r="D50" s="509">
        <f>IF(F49+SUM(E$17:E49)=D$10,F49,D$10-SUM(E$17:E49))</f>
        <v>241500.02569860022</v>
      </c>
      <c r="E50" s="510">
        <f t="shared" si="14"/>
        <v>241500.02569860022</v>
      </c>
      <c r="F50" s="511">
        <f t="shared" si="15"/>
        <v>0</v>
      </c>
      <c r="G50" s="512">
        <f t="shared" si="16"/>
        <v>254349.89777865598</v>
      </c>
      <c r="H50" s="478">
        <f t="shared" si="17"/>
        <v>254349.89777865598</v>
      </c>
      <c r="I50" s="501">
        <f t="shared" si="1"/>
        <v>0</v>
      </c>
      <c r="J50" s="501"/>
      <c r="K50" s="513"/>
      <c r="L50" s="505">
        <f t="shared" si="2"/>
        <v>0</v>
      </c>
      <c r="M50" s="513"/>
      <c r="N50" s="505">
        <f t="shared" si="3"/>
        <v>0</v>
      </c>
      <c r="O50" s="505">
        <f t="shared" si="4"/>
        <v>0</v>
      </c>
      <c r="P50" s="279"/>
    </row>
    <row r="51" spans="2:16" ht="12.5">
      <c r="B51" s="145" t="str">
        <f t="shared" si="0"/>
        <v/>
      </c>
      <c r="C51" s="496">
        <f>IF(D11="","-",+C50+1)</f>
        <v>2052</v>
      </c>
      <c r="D51" s="509">
        <f>IF(F50+SUM(E$17:E50)=D$10,F50,D$10-SUM(E$17:E50))</f>
        <v>0</v>
      </c>
      <c r="E51" s="510">
        <f t="shared" si="14"/>
        <v>0</v>
      </c>
      <c r="F51" s="511">
        <f t="shared" si="15"/>
        <v>0</v>
      </c>
      <c r="G51" s="512">
        <f t="shared" si="16"/>
        <v>0</v>
      </c>
      <c r="H51" s="478">
        <f t="shared" si="17"/>
        <v>0</v>
      </c>
      <c r="I51" s="501">
        <f t="shared" si="1"/>
        <v>0</v>
      </c>
      <c r="J51" s="501"/>
      <c r="K51" s="513"/>
      <c r="L51" s="505">
        <f t="shared" si="2"/>
        <v>0</v>
      </c>
      <c r="M51" s="513"/>
      <c r="N51" s="505">
        <f t="shared" si="3"/>
        <v>0</v>
      </c>
      <c r="O51" s="505">
        <f t="shared" si="4"/>
        <v>0</v>
      </c>
      <c r="P51" s="279"/>
    </row>
    <row r="52" spans="2:16" ht="12.5">
      <c r="B52" s="145" t="str">
        <f t="shared" si="0"/>
        <v/>
      </c>
      <c r="C52" s="496">
        <f>IF(D11="","-",+C51+1)</f>
        <v>2053</v>
      </c>
      <c r="D52" s="509">
        <f>IF(F51+SUM(E$17:E51)=D$10,F51,D$10-SUM(E$17:E51))</f>
        <v>0</v>
      </c>
      <c r="E52" s="510">
        <f t="shared" si="14"/>
        <v>0</v>
      </c>
      <c r="F52" s="511">
        <f t="shared" si="15"/>
        <v>0</v>
      </c>
      <c r="G52" s="512">
        <f t="shared" si="16"/>
        <v>0</v>
      </c>
      <c r="H52" s="478">
        <f t="shared" si="17"/>
        <v>0</v>
      </c>
      <c r="I52" s="501">
        <f t="shared" si="1"/>
        <v>0</v>
      </c>
      <c r="J52" s="501"/>
      <c r="K52" s="513"/>
      <c r="L52" s="505">
        <f t="shared" si="2"/>
        <v>0</v>
      </c>
      <c r="M52" s="513"/>
      <c r="N52" s="505">
        <f t="shared" si="3"/>
        <v>0</v>
      </c>
      <c r="O52" s="505">
        <f t="shared" si="4"/>
        <v>0</v>
      </c>
      <c r="P52" s="279"/>
    </row>
    <row r="53" spans="2:16" ht="12.5">
      <c r="B53" s="145" t="str">
        <f t="shared" si="0"/>
        <v/>
      </c>
      <c r="C53" s="496">
        <f>IF(D11="","-",+C52+1)</f>
        <v>2054</v>
      </c>
      <c r="D53" s="509">
        <f>IF(F52+SUM(E$17:E52)=D$10,F52,D$10-SUM(E$17:E52))</f>
        <v>0</v>
      </c>
      <c r="E53" s="510">
        <f t="shared" si="14"/>
        <v>0</v>
      </c>
      <c r="F53" s="511">
        <f t="shared" si="15"/>
        <v>0</v>
      </c>
      <c r="G53" s="512">
        <f t="shared" si="16"/>
        <v>0</v>
      </c>
      <c r="H53" s="478">
        <f t="shared" si="17"/>
        <v>0</v>
      </c>
      <c r="I53" s="501">
        <f t="shared" si="1"/>
        <v>0</v>
      </c>
      <c r="J53" s="501"/>
      <c r="K53" s="513"/>
      <c r="L53" s="505">
        <f t="shared" si="2"/>
        <v>0</v>
      </c>
      <c r="M53" s="513"/>
      <c r="N53" s="505">
        <f t="shared" si="3"/>
        <v>0</v>
      </c>
      <c r="O53" s="505">
        <f t="shared" si="4"/>
        <v>0</v>
      </c>
      <c r="P53" s="279"/>
    </row>
    <row r="54" spans="2:16" ht="12.5">
      <c r="B54" s="145" t="str">
        <f t="shared" si="0"/>
        <v/>
      </c>
      <c r="C54" s="496">
        <f>IF(D11="","-",+C53+1)</f>
        <v>2055</v>
      </c>
      <c r="D54" s="509">
        <f>IF(F53+SUM(E$17:E53)=D$10,F53,D$10-SUM(E$17:E53))</f>
        <v>0</v>
      </c>
      <c r="E54" s="510">
        <f t="shared" si="14"/>
        <v>0</v>
      </c>
      <c r="F54" s="511">
        <f t="shared" si="15"/>
        <v>0</v>
      </c>
      <c r="G54" s="512">
        <f t="shared" si="16"/>
        <v>0</v>
      </c>
      <c r="H54" s="478">
        <f t="shared" si="17"/>
        <v>0</v>
      </c>
      <c r="I54" s="501">
        <f t="shared" si="1"/>
        <v>0</v>
      </c>
      <c r="J54" s="501"/>
      <c r="K54" s="513"/>
      <c r="L54" s="505">
        <f t="shared" si="2"/>
        <v>0</v>
      </c>
      <c r="M54" s="513"/>
      <c r="N54" s="505">
        <f t="shared" si="3"/>
        <v>0</v>
      </c>
      <c r="O54" s="505">
        <f t="shared" si="4"/>
        <v>0</v>
      </c>
      <c r="P54" s="279"/>
    </row>
    <row r="55" spans="2:16" ht="12.5">
      <c r="B55" s="145" t="str">
        <f t="shared" si="0"/>
        <v/>
      </c>
      <c r="C55" s="496">
        <f>IF(D11="","-",+C54+1)</f>
        <v>2056</v>
      </c>
      <c r="D55" s="509">
        <f>IF(F54+SUM(E$17:E54)=D$10,F54,D$10-SUM(E$17:E54))</f>
        <v>0</v>
      </c>
      <c r="E55" s="510">
        <f t="shared" si="14"/>
        <v>0</v>
      </c>
      <c r="F55" s="511">
        <f t="shared" si="15"/>
        <v>0</v>
      </c>
      <c r="G55" s="512">
        <f t="shared" si="16"/>
        <v>0</v>
      </c>
      <c r="H55" s="478">
        <f t="shared" si="17"/>
        <v>0</v>
      </c>
      <c r="I55" s="501">
        <f t="shared" si="1"/>
        <v>0</v>
      </c>
      <c r="J55" s="501"/>
      <c r="K55" s="513"/>
      <c r="L55" s="505">
        <f t="shared" si="2"/>
        <v>0</v>
      </c>
      <c r="M55" s="513"/>
      <c r="N55" s="505">
        <f t="shared" si="3"/>
        <v>0</v>
      </c>
      <c r="O55" s="505">
        <f t="shared" si="4"/>
        <v>0</v>
      </c>
      <c r="P55" s="279"/>
    </row>
    <row r="56" spans="2:16" ht="12.5">
      <c r="B56" s="145" t="str">
        <f t="shared" si="0"/>
        <v/>
      </c>
      <c r="C56" s="496">
        <f>IF(D11="","-",+C55+1)</f>
        <v>2057</v>
      </c>
      <c r="D56" s="509">
        <f>IF(F55+SUM(E$17:E55)=D$10,F55,D$10-SUM(E$17:E55))</f>
        <v>0</v>
      </c>
      <c r="E56" s="510">
        <f t="shared" si="14"/>
        <v>0</v>
      </c>
      <c r="F56" s="511">
        <f t="shared" si="15"/>
        <v>0</v>
      </c>
      <c r="G56" s="512">
        <f t="shared" si="16"/>
        <v>0</v>
      </c>
      <c r="H56" s="478">
        <f t="shared" si="17"/>
        <v>0</v>
      </c>
      <c r="I56" s="501">
        <f t="shared" si="1"/>
        <v>0</v>
      </c>
      <c r="J56" s="501"/>
      <c r="K56" s="513"/>
      <c r="L56" s="505">
        <f t="shared" si="2"/>
        <v>0</v>
      </c>
      <c r="M56" s="513"/>
      <c r="N56" s="505">
        <f t="shared" si="3"/>
        <v>0</v>
      </c>
      <c r="O56" s="505">
        <f t="shared" si="4"/>
        <v>0</v>
      </c>
      <c r="P56" s="279"/>
    </row>
    <row r="57" spans="2:16" ht="12.5">
      <c r="B57" s="145" t="str">
        <f t="shared" si="0"/>
        <v/>
      </c>
      <c r="C57" s="496">
        <f>IF(D11="","-",+C56+1)</f>
        <v>2058</v>
      </c>
      <c r="D57" s="509">
        <f>IF(F56+SUM(E$17:E56)=D$10,F56,D$10-SUM(E$17:E56))</f>
        <v>0</v>
      </c>
      <c r="E57" s="510">
        <f t="shared" si="14"/>
        <v>0</v>
      </c>
      <c r="F57" s="511">
        <f t="shared" si="15"/>
        <v>0</v>
      </c>
      <c r="G57" s="512">
        <f t="shared" si="16"/>
        <v>0</v>
      </c>
      <c r="H57" s="478">
        <f t="shared" si="17"/>
        <v>0</v>
      </c>
      <c r="I57" s="501">
        <f t="shared" si="1"/>
        <v>0</v>
      </c>
      <c r="J57" s="501"/>
      <c r="K57" s="513"/>
      <c r="L57" s="505">
        <f t="shared" si="2"/>
        <v>0</v>
      </c>
      <c r="M57" s="513"/>
      <c r="N57" s="505">
        <f t="shared" si="3"/>
        <v>0</v>
      </c>
      <c r="O57" s="505">
        <f t="shared" si="4"/>
        <v>0</v>
      </c>
      <c r="P57" s="279"/>
    </row>
    <row r="58" spans="2:16" ht="12.5">
      <c r="B58" s="145" t="str">
        <f t="shared" si="0"/>
        <v/>
      </c>
      <c r="C58" s="496">
        <f>IF(D11="","-",+C57+1)</f>
        <v>2059</v>
      </c>
      <c r="D58" s="509">
        <f>IF(F57+SUM(E$17:E57)=D$10,F57,D$10-SUM(E$17:E57))</f>
        <v>0</v>
      </c>
      <c r="E58" s="510">
        <f t="shared" si="14"/>
        <v>0</v>
      </c>
      <c r="F58" s="511">
        <f t="shared" si="15"/>
        <v>0</v>
      </c>
      <c r="G58" s="512">
        <f t="shared" si="16"/>
        <v>0</v>
      </c>
      <c r="H58" s="478">
        <f t="shared" si="17"/>
        <v>0</v>
      </c>
      <c r="I58" s="501">
        <f t="shared" si="1"/>
        <v>0</v>
      </c>
      <c r="J58" s="501"/>
      <c r="K58" s="513"/>
      <c r="L58" s="505">
        <f t="shared" si="2"/>
        <v>0</v>
      </c>
      <c r="M58" s="513"/>
      <c r="N58" s="505">
        <f t="shared" si="3"/>
        <v>0</v>
      </c>
      <c r="O58" s="505">
        <f t="shared" si="4"/>
        <v>0</v>
      </c>
      <c r="P58" s="279"/>
    </row>
    <row r="59" spans="2:16" ht="12.5">
      <c r="B59" s="145" t="str">
        <f t="shared" si="0"/>
        <v/>
      </c>
      <c r="C59" s="496">
        <f>IF(D11="","-",+C58+1)</f>
        <v>2060</v>
      </c>
      <c r="D59" s="509">
        <f>IF(F58+SUM(E$17:E58)=D$10,F58,D$10-SUM(E$17:E58))</f>
        <v>0</v>
      </c>
      <c r="E59" s="510">
        <f t="shared" si="14"/>
        <v>0</v>
      </c>
      <c r="F59" s="511">
        <f t="shared" si="15"/>
        <v>0</v>
      </c>
      <c r="G59" s="512">
        <f t="shared" si="16"/>
        <v>0</v>
      </c>
      <c r="H59" s="478">
        <f t="shared" si="17"/>
        <v>0</v>
      </c>
      <c r="I59" s="501">
        <f t="shared" si="1"/>
        <v>0</v>
      </c>
      <c r="J59" s="501"/>
      <c r="K59" s="513"/>
      <c r="L59" s="505">
        <f t="shared" si="2"/>
        <v>0</v>
      </c>
      <c r="M59" s="513"/>
      <c r="N59" s="505">
        <f t="shared" si="3"/>
        <v>0</v>
      </c>
      <c r="O59" s="505">
        <f t="shared" si="4"/>
        <v>0</v>
      </c>
      <c r="P59" s="279"/>
    </row>
    <row r="60" spans="2:16" ht="12.5">
      <c r="B60" s="145" t="str">
        <f t="shared" si="0"/>
        <v/>
      </c>
      <c r="C60" s="496">
        <f>IF(D11="","-",+C59+1)</f>
        <v>2061</v>
      </c>
      <c r="D60" s="509">
        <f>IF(F59+SUM(E$17:E59)=D$10,F59,D$10-SUM(E$17:E59))</f>
        <v>0</v>
      </c>
      <c r="E60" s="510">
        <f t="shared" si="14"/>
        <v>0</v>
      </c>
      <c r="F60" s="511">
        <f t="shared" si="15"/>
        <v>0</v>
      </c>
      <c r="G60" s="512">
        <f t="shared" si="16"/>
        <v>0</v>
      </c>
      <c r="H60" s="478">
        <f t="shared" si="17"/>
        <v>0</v>
      </c>
      <c r="I60" s="501">
        <f t="shared" si="1"/>
        <v>0</v>
      </c>
      <c r="J60" s="501"/>
      <c r="K60" s="513"/>
      <c r="L60" s="505">
        <f t="shared" si="2"/>
        <v>0</v>
      </c>
      <c r="M60" s="513"/>
      <c r="N60" s="505">
        <f t="shared" si="3"/>
        <v>0</v>
      </c>
      <c r="O60" s="505">
        <f t="shared" si="4"/>
        <v>0</v>
      </c>
      <c r="P60" s="279"/>
    </row>
    <row r="61" spans="2:16" ht="12.5">
      <c r="B61" s="145" t="str">
        <f t="shared" si="0"/>
        <v/>
      </c>
      <c r="C61" s="496">
        <f>IF(D11="","-",+C60+1)</f>
        <v>2062</v>
      </c>
      <c r="D61" s="509">
        <f>IF(F60+SUM(E$17:E60)=D$10,F60,D$10-SUM(E$17:E60))</f>
        <v>0</v>
      </c>
      <c r="E61" s="510">
        <f t="shared" si="14"/>
        <v>0</v>
      </c>
      <c r="F61" s="511">
        <f t="shared" si="15"/>
        <v>0</v>
      </c>
      <c r="G61" s="524">
        <f t="shared" si="16"/>
        <v>0</v>
      </c>
      <c r="H61" s="478">
        <f t="shared" si="17"/>
        <v>0</v>
      </c>
      <c r="I61" s="501">
        <f t="shared" si="1"/>
        <v>0</v>
      </c>
      <c r="J61" s="501"/>
      <c r="K61" s="513"/>
      <c r="L61" s="505">
        <f t="shared" si="2"/>
        <v>0</v>
      </c>
      <c r="M61" s="513"/>
      <c r="N61" s="505">
        <f t="shared" si="3"/>
        <v>0</v>
      </c>
      <c r="O61" s="505">
        <f t="shared" si="4"/>
        <v>0</v>
      </c>
      <c r="P61" s="279"/>
    </row>
    <row r="62" spans="2:16" ht="12.5">
      <c r="B62" s="145" t="str">
        <f t="shared" si="0"/>
        <v/>
      </c>
      <c r="C62" s="496">
        <f>IF(D11="","-",+C61+1)</f>
        <v>2063</v>
      </c>
      <c r="D62" s="509">
        <f>IF(F61+SUM(E$17:E61)=D$10,F61,D$10-SUM(E$17:E61))</f>
        <v>0</v>
      </c>
      <c r="E62" s="510">
        <f t="shared" si="14"/>
        <v>0</v>
      </c>
      <c r="F62" s="511">
        <f t="shared" si="15"/>
        <v>0</v>
      </c>
      <c r="G62" s="524">
        <f t="shared" si="16"/>
        <v>0</v>
      </c>
      <c r="H62" s="478">
        <f t="shared" si="17"/>
        <v>0</v>
      </c>
      <c r="I62" s="501">
        <f t="shared" si="1"/>
        <v>0</v>
      </c>
      <c r="J62" s="501"/>
      <c r="K62" s="513"/>
      <c r="L62" s="505">
        <f t="shared" si="2"/>
        <v>0</v>
      </c>
      <c r="M62" s="513"/>
      <c r="N62" s="505">
        <f t="shared" si="3"/>
        <v>0</v>
      </c>
      <c r="O62" s="505">
        <f t="shared" si="4"/>
        <v>0</v>
      </c>
      <c r="P62" s="279"/>
    </row>
    <row r="63" spans="2:16" ht="12.5">
      <c r="B63" s="145" t="str">
        <f t="shared" si="0"/>
        <v/>
      </c>
      <c r="C63" s="496">
        <f>IF(D11="","-",+C62+1)</f>
        <v>2064</v>
      </c>
      <c r="D63" s="509">
        <f>IF(F62+SUM(E$17:E62)=D$10,F62,D$10-SUM(E$17:E62))</f>
        <v>0</v>
      </c>
      <c r="E63" s="510">
        <f t="shared" si="14"/>
        <v>0</v>
      </c>
      <c r="F63" s="511">
        <f t="shared" si="15"/>
        <v>0</v>
      </c>
      <c r="G63" s="524">
        <f t="shared" si="16"/>
        <v>0</v>
      </c>
      <c r="H63" s="478">
        <f t="shared" si="17"/>
        <v>0</v>
      </c>
      <c r="I63" s="501">
        <f t="shared" si="1"/>
        <v>0</v>
      </c>
      <c r="J63" s="501"/>
      <c r="K63" s="513"/>
      <c r="L63" s="505">
        <f t="shared" si="2"/>
        <v>0</v>
      </c>
      <c r="M63" s="513"/>
      <c r="N63" s="505">
        <f t="shared" si="3"/>
        <v>0</v>
      </c>
      <c r="O63" s="505">
        <f t="shared" si="4"/>
        <v>0</v>
      </c>
      <c r="P63" s="279"/>
    </row>
    <row r="64" spans="2:16" ht="12.5">
      <c r="B64" s="145" t="str">
        <f t="shared" si="0"/>
        <v/>
      </c>
      <c r="C64" s="496">
        <f>IF(D11="","-",+C63+1)</f>
        <v>2065</v>
      </c>
      <c r="D64" s="509">
        <f>IF(F63+SUM(E$17:E63)=D$10,F63,D$10-SUM(E$17:E63))</f>
        <v>0</v>
      </c>
      <c r="E64" s="510">
        <f t="shared" si="14"/>
        <v>0</v>
      </c>
      <c r="F64" s="511">
        <f t="shared" si="15"/>
        <v>0</v>
      </c>
      <c r="G64" s="524">
        <f t="shared" si="16"/>
        <v>0</v>
      </c>
      <c r="H64" s="478">
        <f t="shared" si="17"/>
        <v>0</v>
      </c>
      <c r="I64" s="501">
        <f t="shared" si="1"/>
        <v>0</v>
      </c>
      <c r="J64" s="501"/>
      <c r="K64" s="513"/>
      <c r="L64" s="505">
        <f t="shared" si="2"/>
        <v>0</v>
      </c>
      <c r="M64" s="513"/>
      <c r="N64" s="505">
        <f t="shared" si="3"/>
        <v>0</v>
      </c>
      <c r="O64" s="505">
        <f t="shared" si="4"/>
        <v>0</v>
      </c>
      <c r="P64" s="279"/>
    </row>
    <row r="65" spans="2:16" ht="12.5">
      <c r="B65" s="145" t="str">
        <f t="shared" si="0"/>
        <v/>
      </c>
      <c r="C65" s="496">
        <f>IF(D11="","-",+C64+1)</f>
        <v>2066</v>
      </c>
      <c r="D65" s="509">
        <f>IF(F64+SUM(E$17:E64)=D$10,F64,D$10-SUM(E$17:E64))</f>
        <v>0</v>
      </c>
      <c r="E65" s="510">
        <f t="shared" si="14"/>
        <v>0</v>
      </c>
      <c r="F65" s="511">
        <f t="shared" si="15"/>
        <v>0</v>
      </c>
      <c r="G65" s="524">
        <f t="shared" si="16"/>
        <v>0</v>
      </c>
      <c r="H65" s="478">
        <f t="shared" si="17"/>
        <v>0</v>
      </c>
      <c r="I65" s="501">
        <f t="shared" si="1"/>
        <v>0</v>
      </c>
      <c r="J65" s="501"/>
      <c r="K65" s="513"/>
      <c r="L65" s="505">
        <f t="shared" si="2"/>
        <v>0</v>
      </c>
      <c r="M65" s="513"/>
      <c r="N65" s="505">
        <f t="shared" si="3"/>
        <v>0</v>
      </c>
      <c r="O65" s="505">
        <f t="shared" si="4"/>
        <v>0</v>
      </c>
      <c r="P65" s="279"/>
    </row>
    <row r="66" spans="2:16" ht="12.5">
      <c r="B66" s="145" t="str">
        <f t="shared" si="0"/>
        <v/>
      </c>
      <c r="C66" s="496">
        <f>IF(D11="","-",+C65+1)</f>
        <v>2067</v>
      </c>
      <c r="D66" s="509">
        <f>IF(F65+SUM(E$17:E65)=D$10,F65,D$10-SUM(E$17:E65))</f>
        <v>0</v>
      </c>
      <c r="E66" s="510">
        <f t="shared" si="14"/>
        <v>0</v>
      </c>
      <c r="F66" s="511">
        <f t="shared" si="15"/>
        <v>0</v>
      </c>
      <c r="G66" s="524">
        <f t="shared" si="16"/>
        <v>0</v>
      </c>
      <c r="H66" s="478">
        <f t="shared" si="17"/>
        <v>0</v>
      </c>
      <c r="I66" s="501">
        <f t="shared" si="1"/>
        <v>0</v>
      </c>
      <c r="J66" s="501"/>
      <c r="K66" s="513"/>
      <c r="L66" s="505">
        <f t="shared" si="2"/>
        <v>0</v>
      </c>
      <c r="M66" s="513"/>
      <c r="N66" s="505">
        <f t="shared" si="3"/>
        <v>0</v>
      </c>
      <c r="O66" s="505">
        <f t="shared" si="4"/>
        <v>0</v>
      </c>
      <c r="P66" s="279"/>
    </row>
    <row r="67" spans="2:16" ht="12.5">
      <c r="B67" s="145" t="str">
        <f t="shared" si="0"/>
        <v/>
      </c>
      <c r="C67" s="496">
        <f>IF(D11="","-",+C66+1)</f>
        <v>2068</v>
      </c>
      <c r="D67" s="509">
        <f>IF(F66+SUM(E$17:E66)=D$10,F66,D$10-SUM(E$17:E66))</f>
        <v>0</v>
      </c>
      <c r="E67" s="510">
        <f t="shared" si="14"/>
        <v>0</v>
      </c>
      <c r="F67" s="511">
        <f t="shared" si="15"/>
        <v>0</v>
      </c>
      <c r="G67" s="524">
        <f t="shared" si="16"/>
        <v>0</v>
      </c>
      <c r="H67" s="478">
        <f t="shared" si="17"/>
        <v>0</v>
      </c>
      <c r="I67" s="501">
        <f t="shared" si="1"/>
        <v>0</v>
      </c>
      <c r="J67" s="501"/>
      <c r="K67" s="513"/>
      <c r="L67" s="505">
        <f t="shared" si="2"/>
        <v>0</v>
      </c>
      <c r="M67" s="513"/>
      <c r="N67" s="505">
        <f t="shared" si="3"/>
        <v>0</v>
      </c>
      <c r="O67" s="505">
        <f t="shared" si="4"/>
        <v>0</v>
      </c>
      <c r="P67" s="279"/>
    </row>
    <row r="68" spans="2:16" ht="12.5">
      <c r="B68" s="145" t="str">
        <f t="shared" si="0"/>
        <v/>
      </c>
      <c r="C68" s="496">
        <f>IF(D11="","-",+C67+1)</f>
        <v>2069</v>
      </c>
      <c r="D68" s="509">
        <f>IF(F67+SUM(E$17:E67)=D$10,F67,D$10-SUM(E$17:E67))</f>
        <v>0</v>
      </c>
      <c r="E68" s="510">
        <f t="shared" si="14"/>
        <v>0</v>
      </c>
      <c r="F68" s="511">
        <f t="shared" si="15"/>
        <v>0</v>
      </c>
      <c r="G68" s="524">
        <f t="shared" si="16"/>
        <v>0</v>
      </c>
      <c r="H68" s="478">
        <f t="shared" si="17"/>
        <v>0</v>
      </c>
      <c r="I68" s="501">
        <f t="shared" si="1"/>
        <v>0</v>
      </c>
      <c r="J68" s="501"/>
      <c r="K68" s="513"/>
      <c r="L68" s="505">
        <f t="shared" si="2"/>
        <v>0</v>
      </c>
      <c r="M68" s="513"/>
      <c r="N68" s="505">
        <f t="shared" si="3"/>
        <v>0</v>
      </c>
      <c r="O68" s="505">
        <f t="shared" si="4"/>
        <v>0</v>
      </c>
      <c r="P68" s="279"/>
    </row>
    <row r="69" spans="2:16" ht="12.5">
      <c r="B69" s="145" t="str">
        <f t="shared" si="0"/>
        <v/>
      </c>
      <c r="C69" s="496">
        <f>IF(D11="","-",+C68+1)</f>
        <v>2070</v>
      </c>
      <c r="D69" s="509">
        <f>IF(F68+SUM(E$17:E68)=D$10,F68,D$10-SUM(E$17:E68))</f>
        <v>0</v>
      </c>
      <c r="E69" s="510">
        <f t="shared" si="14"/>
        <v>0</v>
      </c>
      <c r="F69" s="511">
        <f t="shared" si="15"/>
        <v>0</v>
      </c>
      <c r="G69" s="524">
        <f t="shared" si="16"/>
        <v>0</v>
      </c>
      <c r="H69" s="478">
        <f t="shared" si="17"/>
        <v>0</v>
      </c>
      <c r="I69" s="501">
        <f t="shared" si="1"/>
        <v>0</v>
      </c>
      <c r="J69" s="501"/>
      <c r="K69" s="513"/>
      <c r="L69" s="505">
        <f t="shared" si="2"/>
        <v>0</v>
      </c>
      <c r="M69" s="513"/>
      <c r="N69" s="505">
        <f t="shared" si="3"/>
        <v>0</v>
      </c>
      <c r="O69" s="505">
        <f t="shared" si="4"/>
        <v>0</v>
      </c>
      <c r="P69" s="279"/>
    </row>
    <row r="70" spans="2:16" ht="12.5">
      <c r="B70" s="145" t="str">
        <f t="shared" si="0"/>
        <v/>
      </c>
      <c r="C70" s="496">
        <f>IF(D11="","-",+C69+1)</f>
        <v>2071</v>
      </c>
      <c r="D70" s="509">
        <f>IF(F69+SUM(E$17:E69)=D$10,F69,D$10-SUM(E$17:E69))</f>
        <v>0</v>
      </c>
      <c r="E70" s="510">
        <f t="shared" si="14"/>
        <v>0</v>
      </c>
      <c r="F70" s="511">
        <f t="shared" si="15"/>
        <v>0</v>
      </c>
      <c r="G70" s="524">
        <f t="shared" si="16"/>
        <v>0</v>
      </c>
      <c r="H70" s="478">
        <f t="shared" si="17"/>
        <v>0</v>
      </c>
      <c r="I70" s="501">
        <f t="shared" si="1"/>
        <v>0</v>
      </c>
      <c r="J70" s="501"/>
      <c r="K70" s="513"/>
      <c r="L70" s="505">
        <f t="shared" si="2"/>
        <v>0</v>
      </c>
      <c r="M70" s="513"/>
      <c r="N70" s="505">
        <f t="shared" si="3"/>
        <v>0</v>
      </c>
      <c r="O70" s="505">
        <f t="shared" si="4"/>
        <v>0</v>
      </c>
      <c r="P70" s="279"/>
    </row>
    <row r="71" spans="2:16" ht="12.5">
      <c r="B71" s="145" t="str">
        <f t="shared" si="0"/>
        <v/>
      </c>
      <c r="C71" s="496">
        <f>IF(D11="","-",+C70+1)</f>
        <v>2072</v>
      </c>
      <c r="D71" s="509">
        <f>IF(F70+SUM(E$17:E70)=D$10,F70,D$10-SUM(E$17:E70))</f>
        <v>0</v>
      </c>
      <c r="E71" s="510">
        <f t="shared" si="14"/>
        <v>0</v>
      </c>
      <c r="F71" s="511">
        <f t="shared" si="15"/>
        <v>0</v>
      </c>
      <c r="G71" s="524">
        <f t="shared" si="16"/>
        <v>0</v>
      </c>
      <c r="H71" s="478">
        <f t="shared" si="17"/>
        <v>0</v>
      </c>
      <c r="I71" s="501">
        <f t="shared" si="1"/>
        <v>0</v>
      </c>
      <c r="J71" s="501"/>
      <c r="K71" s="513"/>
      <c r="L71" s="505">
        <f t="shared" si="2"/>
        <v>0</v>
      </c>
      <c r="M71" s="513"/>
      <c r="N71" s="505">
        <f t="shared" si="3"/>
        <v>0</v>
      </c>
      <c r="O71" s="505">
        <f t="shared" si="4"/>
        <v>0</v>
      </c>
      <c r="P71" s="279"/>
    </row>
    <row r="72" spans="2:16" ht="12.5">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8934664.0000000019</v>
      </c>
      <c r="F74" s="295"/>
      <c r="G74" s="295">
        <f>SUM(G17:G73)</f>
        <v>25740688.903113678</v>
      </c>
      <c r="H74" s="295">
        <f>SUM(H17:H73)</f>
        <v>25740688.903113678</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19 of 20</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2020</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1127928.3671828741</v>
      </c>
      <c r="N88" s="545">
        <f>IF(J93&lt;D11,0,VLOOKUP(J93,C17:O73,11))</f>
        <v>1127928.3671828741</v>
      </c>
      <c r="O88" s="546">
        <f>+N88-M88</f>
        <v>0</v>
      </c>
      <c r="P88" s="244"/>
    </row>
    <row r="89" spans="1:16" ht="15.5">
      <c r="C89" s="236"/>
      <c r="D89" s="293"/>
      <c r="E89" s="244"/>
      <c r="F89" s="244"/>
      <c r="G89" s="244"/>
      <c r="H89" s="244"/>
      <c r="I89" s="450"/>
      <c r="J89" s="450"/>
      <c r="K89" s="547"/>
      <c r="L89" s="548" t="s">
        <v>254</v>
      </c>
      <c r="M89" s="549">
        <f>IF(J93&lt;D11,0,VLOOKUP(J93,C100:P155,6))</f>
        <v>1209669.2196039241</v>
      </c>
      <c r="N89" s="549">
        <f>IF(J93&lt;D11,0,VLOOKUP(J93,C100:P155,7))</f>
        <v>1209669.2196039241</v>
      </c>
      <c r="O89" s="550">
        <f>+N89-M89</f>
        <v>0</v>
      </c>
      <c r="P89" s="244"/>
    </row>
    <row r="90" spans="1:16" ht="13.5" thickBot="1">
      <c r="C90" s="455" t="s">
        <v>82</v>
      </c>
      <c r="D90" s="551" t="str">
        <f>+D7</f>
        <v>Duncan-Comanche Tap 69 KV Rebuild</v>
      </c>
      <c r="E90" s="244"/>
      <c r="F90" s="244"/>
      <c r="G90" s="244"/>
      <c r="H90" s="244"/>
      <c r="I90" s="326"/>
      <c r="J90" s="326"/>
      <c r="K90" s="552"/>
      <c r="L90" s="553" t="s">
        <v>135</v>
      </c>
      <c r="M90" s="554">
        <f>+M89-M88</f>
        <v>81740.85242104996</v>
      </c>
      <c r="N90" s="554">
        <f>+N89-N88</f>
        <v>81740.85242104996</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2015191</v>
      </c>
      <c r="E92" s="559"/>
      <c r="F92" s="559"/>
      <c r="G92" s="559"/>
      <c r="H92" s="559"/>
      <c r="I92" s="559"/>
      <c r="J92" s="559"/>
      <c r="K92" s="561"/>
      <c r="P92" s="469"/>
    </row>
    <row r="93" spans="1:16" ht="13">
      <c r="C93" s="473" t="s">
        <v>49</v>
      </c>
      <c r="D93" s="475">
        <v>8934664</v>
      </c>
      <c r="E93" s="249" t="s">
        <v>84</v>
      </c>
      <c r="H93" s="409"/>
      <c r="I93" s="409"/>
      <c r="J93" s="472">
        <f>+'OKT.WS.G.BPU.ATRR.True-up'!M16</f>
        <v>2020</v>
      </c>
      <c r="K93" s="468"/>
      <c r="L93" s="295" t="s">
        <v>85</v>
      </c>
      <c r="P93" s="279"/>
    </row>
    <row r="94" spans="1:16" ht="12.5">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5</v>
      </c>
      <c r="E95" s="473" t="s">
        <v>55</v>
      </c>
      <c r="F95" s="409"/>
      <c r="G95" s="409"/>
      <c r="J95" s="477">
        <f>'OKT.WS.G.BPU.ATRR.True-up'!$F$81</f>
        <v>0.10641349897030054</v>
      </c>
      <c r="K95" s="414"/>
      <c r="L95" s="145" t="s">
        <v>86</v>
      </c>
      <c r="P95" s="279"/>
    </row>
    <row r="96" spans="1:16" ht="12.5">
      <c r="C96" s="473" t="s">
        <v>57</v>
      </c>
      <c r="D96" s="475">
        <f>'OKT.WS.G.BPU.ATRR.True-up'!F$93</f>
        <v>28</v>
      </c>
      <c r="E96" s="473" t="s">
        <v>58</v>
      </c>
      <c r="F96" s="409"/>
      <c r="G96" s="409"/>
      <c r="J96" s="477">
        <f>IF(H88="",J95,'OKT.WS.G.BPU.ATRR.True-up'!$F$80)</f>
        <v>0.10641349897030054</v>
      </c>
      <c r="K96" s="292"/>
      <c r="L96" s="295" t="s">
        <v>59</v>
      </c>
      <c r="M96" s="292"/>
      <c r="N96" s="292"/>
      <c r="O96" s="292"/>
      <c r="P96" s="279"/>
    </row>
    <row r="97" spans="1:16" ht="13" thickBot="1">
      <c r="C97" s="473" t="s">
        <v>60</v>
      </c>
      <c r="D97" s="563" t="str">
        <f>+D14</f>
        <v>No</v>
      </c>
      <c r="E97" s="564" t="s">
        <v>62</v>
      </c>
      <c r="F97" s="565"/>
      <c r="G97" s="565"/>
      <c r="H97" s="566"/>
      <c r="I97" s="566"/>
      <c r="J97" s="459">
        <f>IF(D93=0,0,D93/D96)</f>
        <v>319095.14285714284</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8">IF(D100=F99,"","IU")</f>
        <v>IU</v>
      </c>
      <c r="C100" s="496">
        <f>IF(D94= "","-",D94)</f>
        <v>2018</v>
      </c>
      <c r="D100" s="497">
        <v>0</v>
      </c>
      <c r="E100" s="499">
        <v>157935.97979797979</v>
      </c>
      <c r="F100" s="506">
        <v>8776728.0202020202</v>
      </c>
      <c r="G100" s="506">
        <v>4388364.0101010101</v>
      </c>
      <c r="H100" s="499">
        <v>631919.77960959531</v>
      </c>
      <c r="I100" s="500">
        <v>631919.77960959531</v>
      </c>
      <c r="J100" s="505">
        <f t="shared" ref="J100:J131" si="19">+I100-H100</f>
        <v>0</v>
      </c>
      <c r="K100" s="505"/>
      <c r="L100" s="507">
        <f>+H100</f>
        <v>631919.77960959531</v>
      </c>
      <c r="M100" s="505">
        <f t="shared" ref="M100" si="20">IF(L100&lt;&gt;0,+H100-L100,0)</f>
        <v>0</v>
      </c>
      <c r="N100" s="507">
        <f>+I100</f>
        <v>631919.77960959531</v>
      </c>
      <c r="O100" s="587">
        <f t="shared" ref="O100:O101" si="21">IF(N100&lt;&gt;0,+I100-N100,0)</f>
        <v>0</v>
      </c>
      <c r="P100" s="505">
        <f t="shared" ref="P100" si="22">+O100-M100</f>
        <v>0</v>
      </c>
    </row>
    <row r="101" spans="1:16" ht="12.5">
      <c r="B101" s="145" t="str">
        <f t="shared" si="18"/>
        <v>IU</v>
      </c>
      <c r="C101" s="496">
        <f>IF(D94="","-",+C100+1)</f>
        <v>2019</v>
      </c>
      <c r="D101" s="497">
        <v>8934664</v>
      </c>
      <c r="E101" s="499">
        <v>248185.11111111112</v>
      </c>
      <c r="F101" s="506">
        <v>8686478.8888888881</v>
      </c>
      <c r="G101" s="506">
        <v>8810571.444444444</v>
      </c>
      <c r="H101" s="499">
        <v>1178250.6107491101</v>
      </c>
      <c r="I101" s="500">
        <v>1178250.6107491101</v>
      </c>
      <c r="J101" s="505">
        <f t="shared" si="19"/>
        <v>0</v>
      </c>
      <c r="K101" s="505"/>
      <c r="L101" s="507">
        <f>H101</f>
        <v>1178250.6107491101</v>
      </c>
      <c r="M101" s="505">
        <f>IF(L101&lt;&gt;0,+H101-L101,0)</f>
        <v>0</v>
      </c>
      <c r="N101" s="507">
        <f>I101</f>
        <v>1178250.6107491101</v>
      </c>
      <c r="O101" s="505">
        <f t="shared" si="21"/>
        <v>0</v>
      </c>
      <c r="P101" s="505">
        <f>+O101-M101</f>
        <v>0</v>
      </c>
    </row>
    <row r="102" spans="1:16" ht="12.5">
      <c r="B102" s="145" t="str">
        <f t="shared" si="18"/>
        <v>IU</v>
      </c>
      <c r="C102" s="496">
        <f>IF(D94="","-",+C101+1)</f>
        <v>2020</v>
      </c>
      <c r="D102" s="350">
        <f>IF(F101+SUM(E$100:E101)=D$93,F101,D$93-SUM(E$100:E101))</f>
        <v>8528542.9090909082</v>
      </c>
      <c r="E102" s="510">
        <f t="shared" ref="E102" si="23">IF(+J$97&lt;F101,J$97,D102)</f>
        <v>319095.14285714284</v>
      </c>
      <c r="F102" s="511">
        <f t="shared" ref="F102" si="24">+D102-E102</f>
        <v>8209447.7662337655</v>
      </c>
      <c r="G102" s="511">
        <f t="shared" ref="G102" si="25">+(F102+D102)/2</f>
        <v>8368995.3376623373</v>
      </c>
      <c r="H102" s="646">
        <f>(D102+F102)/2*J$95+E102</f>
        <v>1209669.2196039241</v>
      </c>
      <c r="I102" s="628">
        <f t="shared" ref="I102" si="26">+J$96*G102+E102</f>
        <v>1209669.2196039241</v>
      </c>
      <c r="J102" s="505">
        <f t="shared" si="19"/>
        <v>0</v>
      </c>
      <c r="K102" s="505"/>
      <c r="L102" s="513"/>
      <c r="M102" s="505">
        <f t="shared" ref="M102" si="27">IF(L102&lt;&gt;0,+H102-L102,0)</f>
        <v>0</v>
      </c>
      <c r="N102" s="513"/>
      <c r="O102" s="505">
        <f t="shared" ref="O102" si="28">IF(N102&lt;&gt;0,+I102-N102,0)</f>
        <v>0</v>
      </c>
      <c r="P102" s="505">
        <f>+O102-M102</f>
        <v>0</v>
      </c>
    </row>
    <row r="103" spans="1:16" ht="12.5">
      <c r="B103" s="145" t="str">
        <f t="shared" si="18"/>
        <v/>
      </c>
      <c r="C103" s="496">
        <f>IF(D94="","-",+C102+1)</f>
        <v>2021</v>
      </c>
      <c r="D103" s="350">
        <f>IF(F102+SUM(E$100:E102)=D$93,F102,D$93-SUM(E$100:E102))</f>
        <v>8209447.7662337655</v>
      </c>
      <c r="E103" s="510">
        <f t="shared" ref="E103:E155" si="29">IF(+J$97&lt;F102,J$97,D103)</f>
        <v>319095.14285714284</v>
      </c>
      <c r="F103" s="511">
        <f t="shared" ref="F103:F155" si="30">+D103-E103</f>
        <v>7890352.6233766228</v>
      </c>
      <c r="G103" s="511">
        <f t="shared" ref="G103:G155" si="31">+(F103+D103)/2</f>
        <v>8049900.1948051937</v>
      </c>
      <c r="H103" s="646">
        <f t="shared" ref="H103:H155" si="32">(D103+F103)/2*J$95+E103</f>
        <v>1175713.1889480674</v>
      </c>
      <c r="I103" s="628">
        <f t="shared" ref="I103:I155" si="33">+J$96*G103+E103</f>
        <v>1175713.1889480674</v>
      </c>
      <c r="J103" s="505">
        <f t="shared" si="19"/>
        <v>0</v>
      </c>
      <c r="K103" s="505"/>
      <c r="L103" s="513"/>
      <c r="M103" s="505">
        <f t="shared" ref="M103:M131" si="34">IF(L103&lt;&gt;0,+H103-L103,0)</f>
        <v>0</v>
      </c>
      <c r="N103" s="513"/>
      <c r="O103" s="505">
        <f t="shared" ref="O103:O131" si="35">IF(N103&lt;&gt;0,+I103-N103,0)</f>
        <v>0</v>
      </c>
      <c r="P103" s="505">
        <f t="shared" ref="P103:P131" si="36">+O103-M103</f>
        <v>0</v>
      </c>
    </row>
    <row r="104" spans="1:16" ht="12.5">
      <c r="B104" s="145" t="str">
        <f t="shared" si="18"/>
        <v/>
      </c>
      <c r="C104" s="496">
        <f>IF(D94="","-",+C103+1)</f>
        <v>2022</v>
      </c>
      <c r="D104" s="350">
        <f>IF(F103+SUM(E$100:E103)=D$93,F103,D$93-SUM(E$100:E103))</f>
        <v>7890352.6233766228</v>
      </c>
      <c r="E104" s="510">
        <f t="shared" si="29"/>
        <v>319095.14285714284</v>
      </c>
      <c r="F104" s="511">
        <f t="shared" si="30"/>
        <v>7571257.4805194801</v>
      </c>
      <c r="G104" s="511">
        <f t="shared" si="31"/>
        <v>7730805.0519480519</v>
      </c>
      <c r="H104" s="646">
        <f t="shared" si="32"/>
        <v>1141757.1582922111</v>
      </c>
      <c r="I104" s="628">
        <f t="shared" si="33"/>
        <v>1141757.1582922111</v>
      </c>
      <c r="J104" s="505">
        <f t="shared" si="19"/>
        <v>0</v>
      </c>
      <c r="K104" s="505"/>
      <c r="L104" s="513"/>
      <c r="M104" s="505">
        <f t="shared" si="34"/>
        <v>0</v>
      </c>
      <c r="N104" s="513"/>
      <c r="O104" s="505">
        <f t="shared" si="35"/>
        <v>0</v>
      </c>
      <c r="P104" s="505">
        <f t="shared" si="36"/>
        <v>0</v>
      </c>
    </row>
    <row r="105" spans="1:16" ht="12.5">
      <c r="B105" s="145" t="str">
        <f t="shared" si="18"/>
        <v/>
      </c>
      <c r="C105" s="496">
        <f>IF(D94="","-",+C104+1)</f>
        <v>2023</v>
      </c>
      <c r="D105" s="350">
        <f>IF(F104+SUM(E$100:E104)=D$93,F104,D$93-SUM(E$100:E104))</f>
        <v>7571257.4805194801</v>
      </c>
      <c r="E105" s="510">
        <f t="shared" si="29"/>
        <v>319095.14285714284</v>
      </c>
      <c r="F105" s="511">
        <f t="shared" si="30"/>
        <v>7252162.3376623373</v>
      </c>
      <c r="G105" s="511">
        <f t="shared" si="31"/>
        <v>7411709.9090909082</v>
      </c>
      <c r="H105" s="646">
        <f t="shared" si="32"/>
        <v>1107801.1276363544</v>
      </c>
      <c r="I105" s="628">
        <f t="shared" si="33"/>
        <v>1107801.1276363544</v>
      </c>
      <c r="J105" s="505">
        <f t="shared" si="19"/>
        <v>0</v>
      </c>
      <c r="K105" s="505"/>
      <c r="L105" s="513"/>
      <c r="M105" s="505">
        <f t="shared" si="34"/>
        <v>0</v>
      </c>
      <c r="N105" s="513"/>
      <c r="O105" s="505">
        <f t="shared" si="35"/>
        <v>0</v>
      </c>
      <c r="P105" s="505">
        <f t="shared" si="36"/>
        <v>0</v>
      </c>
    </row>
    <row r="106" spans="1:16" ht="12.5">
      <c r="B106" s="145" t="str">
        <f t="shared" si="18"/>
        <v/>
      </c>
      <c r="C106" s="496">
        <f>IF(D94="","-",+C105+1)</f>
        <v>2024</v>
      </c>
      <c r="D106" s="350">
        <f>IF(F105+SUM(E$100:E105)=D$93,F105,D$93-SUM(E$100:E105))</f>
        <v>7252162.3376623373</v>
      </c>
      <c r="E106" s="510">
        <f t="shared" si="29"/>
        <v>319095.14285714284</v>
      </c>
      <c r="F106" s="511">
        <f t="shared" si="30"/>
        <v>6933067.1948051946</v>
      </c>
      <c r="G106" s="511">
        <f t="shared" si="31"/>
        <v>7092614.7662337665</v>
      </c>
      <c r="H106" s="646">
        <f t="shared" si="32"/>
        <v>1073845.0969804982</v>
      </c>
      <c r="I106" s="628">
        <f t="shared" si="33"/>
        <v>1073845.0969804982</v>
      </c>
      <c r="J106" s="505">
        <f t="shared" si="19"/>
        <v>0</v>
      </c>
      <c r="K106" s="505"/>
      <c r="L106" s="513"/>
      <c r="M106" s="505">
        <f t="shared" si="34"/>
        <v>0</v>
      </c>
      <c r="N106" s="513"/>
      <c r="O106" s="505">
        <f t="shared" si="35"/>
        <v>0</v>
      </c>
      <c r="P106" s="505">
        <f t="shared" si="36"/>
        <v>0</v>
      </c>
    </row>
    <row r="107" spans="1:16" ht="12.5">
      <c r="B107" s="145" t="str">
        <f t="shared" si="18"/>
        <v/>
      </c>
      <c r="C107" s="496">
        <f>IF(D94="","-",+C106+1)</f>
        <v>2025</v>
      </c>
      <c r="D107" s="350">
        <f>IF(F106+SUM(E$100:E106)=D$93,F106,D$93-SUM(E$100:E106))</f>
        <v>6933067.1948051946</v>
      </c>
      <c r="E107" s="510">
        <f t="shared" si="29"/>
        <v>319095.14285714284</v>
      </c>
      <c r="F107" s="511">
        <f t="shared" si="30"/>
        <v>6613972.0519480519</v>
      </c>
      <c r="G107" s="511">
        <f t="shared" si="31"/>
        <v>6773519.6233766228</v>
      </c>
      <c r="H107" s="646">
        <f t="shared" si="32"/>
        <v>1039889.0663246416</v>
      </c>
      <c r="I107" s="628">
        <f t="shared" si="33"/>
        <v>1039889.0663246416</v>
      </c>
      <c r="J107" s="505">
        <f t="shared" si="19"/>
        <v>0</v>
      </c>
      <c r="K107" s="505"/>
      <c r="L107" s="513"/>
      <c r="M107" s="505">
        <f t="shared" si="34"/>
        <v>0</v>
      </c>
      <c r="N107" s="513"/>
      <c r="O107" s="505">
        <f t="shared" si="35"/>
        <v>0</v>
      </c>
      <c r="P107" s="505">
        <f t="shared" si="36"/>
        <v>0</v>
      </c>
    </row>
    <row r="108" spans="1:16" ht="12.5">
      <c r="B108" s="145" t="str">
        <f t="shared" si="18"/>
        <v/>
      </c>
      <c r="C108" s="496">
        <f>IF(D94="","-",+C107+1)</f>
        <v>2026</v>
      </c>
      <c r="D108" s="350">
        <f>IF(F107+SUM(E$100:E107)=D$93,F107,D$93-SUM(E$100:E107))</f>
        <v>6613972.0519480519</v>
      </c>
      <c r="E108" s="510">
        <f t="shared" si="29"/>
        <v>319095.14285714284</v>
      </c>
      <c r="F108" s="511">
        <f t="shared" si="30"/>
        <v>6294876.9090909092</v>
      </c>
      <c r="G108" s="511">
        <f t="shared" si="31"/>
        <v>6454424.480519481</v>
      </c>
      <c r="H108" s="646">
        <f t="shared" si="32"/>
        <v>1005933.0356687852</v>
      </c>
      <c r="I108" s="628">
        <f t="shared" si="33"/>
        <v>1005933.0356687852</v>
      </c>
      <c r="J108" s="505">
        <f t="shared" si="19"/>
        <v>0</v>
      </c>
      <c r="K108" s="505"/>
      <c r="L108" s="513"/>
      <c r="M108" s="505">
        <f t="shared" si="34"/>
        <v>0</v>
      </c>
      <c r="N108" s="513"/>
      <c r="O108" s="505">
        <f t="shared" si="35"/>
        <v>0</v>
      </c>
      <c r="P108" s="505">
        <f t="shared" si="36"/>
        <v>0</v>
      </c>
    </row>
    <row r="109" spans="1:16" ht="12.5">
      <c r="B109" s="145" t="str">
        <f t="shared" si="18"/>
        <v/>
      </c>
      <c r="C109" s="496">
        <f>IF(D94="","-",+C108+1)</f>
        <v>2027</v>
      </c>
      <c r="D109" s="350">
        <f>IF(F108+SUM(E$100:E108)=D$93,F108,D$93-SUM(E$100:E108))</f>
        <v>6294876.9090909092</v>
      </c>
      <c r="E109" s="510">
        <f t="shared" si="29"/>
        <v>319095.14285714284</v>
      </c>
      <c r="F109" s="511">
        <f t="shared" si="30"/>
        <v>5975781.7662337665</v>
      </c>
      <c r="G109" s="511">
        <f t="shared" si="31"/>
        <v>6135329.3376623373</v>
      </c>
      <c r="H109" s="646">
        <f t="shared" si="32"/>
        <v>971977.00501292874</v>
      </c>
      <c r="I109" s="628">
        <f t="shared" si="33"/>
        <v>971977.00501292874</v>
      </c>
      <c r="J109" s="505">
        <f t="shared" si="19"/>
        <v>0</v>
      </c>
      <c r="K109" s="505"/>
      <c r="L109" s="513"/>
      <c r="M109" s="505">
        <f t="shared" si="34"/>
        <v>0</v>
      </c>
      <c r="N109" s="513"/>
      <c r="O109" s="505">
        <f t="shared" si="35"/>
        <v>0</v>
      </c>
      <c r="P109" s="505">
        <f t="shared" si="36"/>
        <v>0</v>
      </c>
    </row>
    <row r="110" spans="1:16" ht="12.5">
      <c r="B110" s="145" t="str">
        <f t="shared" si="18"/>
        <v/>
      </c>
      <c r="C110" s="496">
        <f>IF(D94="","-",+C109+1)</f>
        <v>2028</v>
      </c>
      <c r="D110" s="350">
        <f>IF(F109+SUM(E$100:E109)=D$93,F109,D$93-SUM(E$100:E109))</f>
        <v>5975781.7662337665</v>
      </c>
      <c r="E110" s="510">
        <f t="shared" si="29"/>
        <v>319095.14285714284</v>
      </c>
      <c r="F110" s="511">
        <f t="shared" si="30"/>
        <v>5656686.6233766237</v>
      </c>
      <c r="G110" s="511">
        <f t="shared" si="31"/>
        <v>5816234.1948051956</v>
      </c>
      <c r="H110" s="646">
        <f t="shared" si="32"/>
        <v>938020.97435707238</v>
      </c>
      <c r="I110" s="628">
        <f t="shared" si="33"/>
        <v>938020.97435707238</v>
      </c>
      <c r="J110" s="505">
        <f t="shared" si="19"/>
        <v>0</v>
      </c>
      <c r="K110" s="505"/>
      <c r="L110" s="513"/>
      <c r="M110" s="505">
        <f t="shared" si="34"/>
        <v>0</v>
      </c>
      <c r="N110" s="513"/>
      <c r="O110" s="505">
        <f t="shared" si="35"/>
        <v>0</v>
      </c>
      <c r="P110" s="505">
        <f t="shared" si="36"/>
        <v>0</v>
      </c>
    </row>
    <row r="111" spans="1:16" ht="12.5">
      <c r="B111" s="145" t="str">
        <f t="shared" si="18"/>
        <v/>
      </c>
      <c r="C111" s="496">
        <f>IF(D94="","-",+C110+1)</f>
        <v>2029</v>
      </c>
      <c r="D111" s="350">
        <f>IF(F110+SUM(E$100:E110)=D$93,F110,D$93-SUM(E$100:E110))</f>
        <v>5656686.6233766237</v>
      </c>
      <c r="E111" s="510">
        <f t="shared" si="29"/>
        <v>319095.14285714284</v>
      </c>
      <c r="F111" s="511">
        <f t="shared" si="30"/>
        <v>5337591.480519481</v>
      </c>
      <c r="G111" s="511">
        <f t="shared" si="31"/>
        <v>5497139.0519480519</v>
      </c>
      <c r="H111" s="646">
        <f t="shared" si="32"/>
        <v>904064.94370121579</v>
      </c>
      <c r="I111" s="628">
        <f t="shared" si="33"/>
        <v>904064.94370121579</v>
      </c>
      <c r="J111" s="505">
        <f t="shared" si="19"/>
        <v>0</v>
      </c>
      <c r="K111" s="505"/>
      <c r="L111" s="513"/>
      <c r="M111" s="505">
        <f t="shared" si="34"/>
        <v>0</v>
      </c>
      <c r="N111" s="513"/>
      <c r="O111" s="505">
        <f t="shared" si="35"/>
        <v>0</v>
      </c>
      <c r="P111" s="505">
        <f t="shared" si="36"/>
        <v>0</v>
      </c>
    </row>
    <row r="112" spans="1:16" ht="12.5">
      <c r="B112" s="145" t="str">
        <f t="shared" si="18"/>
        <v/>
      </c>
      <c r="C112" s="496">
        <f>IF(D94="","-",+C111+1)</f>
        <v>2030</v>
      </c>
      <c r="D112" s="350">
        <f>IF(F111+SUM(E$100:E111)=D$93,F111,D$93-SUM(E$100:E111))</f>
        <v>5337591.480519481</v>
      </c>
      <c r="E112" s="510">
        <f t="shared" si="29"/>
        <v>319095.14285714284</v>
      </c>
      <c r="F112" s="511">
        <f t="shared" si="30"/>
        <v>5018496.3376623383</v>
      </c>
      <c r="G112" s="511">
        <f t="shared" si="31"/>
        <v>5178043.9090909101</v>
      </c>
      <c r="H112" s="646">
        <f t="shared" si="32"/>
        <v>870108.91304535943</v>
      </c>
      <c r="I112" s="628">
        <f t="shared" si="33"/>
        <v>870108.91304535943</v>
      </c>
      <c r="J112" s="505">
        <f t="shared" si="19"/>
        <v>0</v>
      </c>
      <c r="K112" s="505"/>
      <c r="L112" s="513"/>
      <c r="M112" s="505">
        <f t="shared" si="34"/>
        <v>0</v>
      </c>
      <c r="N112" s="513"/>
      <c r="O112" s="505">
        <f t="shared" si="35"/>
        <v>0</v>
      </c>
      <c r="P112" s="505">
        <f t="shared" si="36"/>
        <v>0</v>
      </c>
    </row>
    <row r="113" spans="2:16" ht="12.5">
      <c r="B113" s="145" t="str">
        <f t="shared" si="18"/>
        <v/>
      </c>
      <c r="C113" s="496">
        <f>IF(D94="","-",+C112+1)</f>
        <v>2031</v>
      </c>
      <c r="D113" s="350">
        <f>IF(F112+SUM(E$100:E112)=D$93,F112,D$93-SUM(E$100:E112))</f>
        <v>5018496.3376623383</v>
      </c>
      <c r="E113" s="510">
        <f t="shared" si="29"/>
        <v>319095.14285714284</v>
      </c>
      <c r="F113" s="511">
        <f t="shared" si="30"/>
        <v>4699401.1948051956</v>
      </c>
      <c r="G113" s="511">
        <f t="shared" si="31"/>
        <v>4858948.7662337665</v>
      </c>
      <c r="H113" s="646">
        <f t="shared" si="32"/>
        <v>836152.88238950283</v>
      </c>
      <c r="I113" s="628">
        <f t="shared" si="33"/>
        <v>836152.88238950283</v>
      </c>
      <c r="J113" s="505">
        <f t="shared" si="19"/>
        <v>0</v>
      </c>
      <c r="K113" s="505"/>
      <c r="L113" s="513"/>
      <c r="M113" s="505">
        <f t="shared" si="34"/>
        <v>0</v>
      </c>
      <c r="N113" s="513"/>
      <c r="O113" s="505">
        <f t="shared" si="35"/>
        <v>0</v>
      </c>
      <c r="P113" s="505">
        <f t="shared" si="36"/>
        <v>0</v>
      </c>
    </row>
    <row r="114" spans="2:16" ht="12.5">
      <c r="B114" s="145" t="str">
        <f t="shared" si="18"/>
        <v/>
      </c>
      <c r="C114" s="496">
        <f>IF(D94="","-",+C113+1)</f>
        <v>2032</v>
      </c>
      <c r="D114" s="350">
        <f>IF(F113+SUM(E$100:E113)=D$93,F113,D$93-SUM(E$100:E113))</f>
        <v>4699401.1948051956</v>
      </c>
      <c r="E114" s="510">
        <f t="shared" si="29"/>
        <v>319095.14285714284</v>
      </c>
      <c r="F114" s="511">
        <f t="shared" si="30"/>
        <v>4380306.0519480528</v>
      </c>
      <c r="G114" s="511">
        <f t="shared" si="31"/>
        <v>4539853.6233766247</v>
      </c>
      <c r="H114" s="646">
        <f t="shared" si="32"/>
        <v>802196.85173364647</v>
      </c>
      <c r="I114" s="628">
        <f t="shared" si="33"/>
        <v>802196.85173364647</v>
      </c>
      <c r="J114" s="505">
        <f t="shared" si="19"/>
        <v>0</v>
      </c>
      <c r="K114" s="505"/>
      <c r="L114" s="513"/>
      <c r="M114" s="505">
        <f t="shared" si="34"/>
        <v>0</v>
      </c>
      <c r="N114" s="513"/>
      <c r="O114" s="505">
        <f t="shared" si="35"/>
        <v>0</v>
      </c>
      <c r="P114" s="505">
        <f t="shared" si="36"/>
        <v>0</v>
      </c>
    </row>
    <row r="115" spans="2:16" ht="12.5">
      <c r="B115" s="145" t="str">
        <f t="shared" si="18"/>
        <v/>
      </c>
      <c r="C115" s="496">
        <f>IF(D94="","-",+C114+1)</f>
        <v>2033</v>
      </c>
      <c r="D115" s="350">
        <f>IF(F114+SUM(E$100:E114)=D$93,F114,D$93-SUM(E$100:E114))</f>
        <v>4380306.0519480528</v>
      </c>
      <c r="E115" s="510">
        <f t="shared" si="29"/>
        <v>319095.14285714284</v>
      </c>
      <c r="F115" s="511">
        <f t="shared" si="30"/>
        <v>4061210.9090909101</v>
      </c>
      <c r="G115" s="511">
        <f t="shared" si="31"/>
        <v>4220758.480519481</v>
      </c>
      <c r="H115" s="646">
        <f t="shared" si="32"/>
        <v>768240.82107778988</v>
      </c>
      <c r="I115" s="628">
        <f t="shared" si="33"/>
        <v>768240.82107778988</v>
      </c>
      <c r="J115" s="505">
        <f t="shared" si="19"/>
        <v>0</v>
      </c>
      <c r="K115" s="505"/>
      <c r="L115" s="513"/>
      <c r="M115" s="505">
        <f t="shared" si="34"/>
        <v>0</v>
      </c>
      <c r="N115" s="513"/>
      <c r="O115" s="505">
        <f t="shared" si="35"/>
        <v>0</v>
      </c>
      <c r="P115" s="505">
        <f t="shared" si="36"/>
        <v>0</v>
      </c>
    </row>
    <row r="116" spans="2:16" ht="12.5">
      <c r="B116" s="145" t="str">
        <f t="shared" si="18"/>
        <v/>
      </c>
      <c r="C116" s="496">
        <f>IF(D94="","-",+C115+1)</f>
        <v>2034</v>
      </c>
      <c r="D116" s="350">
        <f>IF(F115+SUM(E$100:E115)=D$93,F115,D$93-SUM(E$100:E115))</f>
        <v>4061210.9090909101</v>
      </c>
      <c r="E116" s="510">
        <f t="shared" si="29"/>
        <v>319095.14285714284</v>
      </c>
      <c r="F116" s="511">
        <f t="shared" si="30"/>
        <v>3742115.7662337674</v>
      </c>
      <c r="G116" s="511">
        <f t="shared" si="31"/>
        <v>3901663.3376623387</v>
      </c>
      <c r="H116" s="646">
        <f t="shared" si="32"/>
        <v>734284.79042193352</v>
      </c>
      <c r="I116" s="628">
        <f t="shared" si="33"/>
        <v>734284.79042193352</v>
      </c>
      <c r="J116" s="505">
        <f t="shared" si="19"/>
        <v>0</v>
      </c>
      <c r="K116" s="505"/>
      <c r="L116" s="513"/>
      <c r="M116" s="505">
        <f t="shared" si="34"/>
        <v>0</v>
      </c>
      <c r="N116" s="513"/>
      <c r="O116" s="505">
        <f t="shared" si="35"/>
        <v>0</v>
      </c>
      <c r="P116" s="505">
        <f t="shared" si="36"/>
        <v>0</v>
      </c>
    </row>
    <row r="117" spans="2:16" ht="12.5">
      <c r="B117" s="145" t="str">
        <f t="shared" si="18"/>
        <v/>
      </c>
      <c r="C117" s="496">
        <f>IF(D94="","-",+C116+1)</f>
        <v>2035</v>
      </c>
      <c r="D117" s="350">
        <f>IF(F116+SUM(E$100:E116)=D$93,F116,D$93-SUM(E$100:E116))</f>
        <v>3742115.7662337674</v>
      </c>
      <c r="E117" s="510">
        <f t="shared" si="29"/>
        <v>319095.14285714284</v>
      </c>
      <c r="F117" s="511">
        <f t="shared" si="30"/>
        <v>3423020.6233766247</v>
      </c>
      <c r="G117" s="511">
        <f t="shared" si="31"/>
        <v>3582568.194805196</v>
      </c>
      <c r="H117" s="646">
        <f t="shared" si="32"/>
        <v>700328.75976607704</v>
      </c>
      <c r="I117" s="628">
        <f t="shared" si="33"/>
        <v>700328.75976607704</v>
      </c>
      <c r="J117" s="505">
        <f t="shared" si="19"/>
        <v>0</v>
      </c>
      <c r="K117" s="505"/>
      <c r="L117" s="513"/>
      <c r="M117" s="505">
        <f t="shared" si="34"/>
        <v>0</v>
      </c>
      <c r="N117" s="513"/>
      <c r="O117" s="505">
        <f t="shared" si="35"/>
        <v>0</v>
      </c>
      <c r="P117" s="505">
        <f t="shared" si="36"/>
        <v>0</v>
      </c>
    </row>
    <row r="118" spans="2:16" ht="12.5">
      <c r="B118" s="145" t="str">
        <f t="shared" si="18"/>
        <v/>
      </c>
      <c r="C118" s="496">
        <f>IF(D94="","-",+C117+1)</f>
        <v>2036</v>
      </c>
      <c r="D118" s="350">
        <f>IF(F117+SUM(E$100:E117)=D$93,F117,D$93-SUM(E$100:E117))</f>
        <v>3423020.6233766247</v>
      </c>
      <c r="E118" s="510">
        <f t="shared" si="29"/>
        <v>319095.14285714284</v>
      </c>
      <c r="F118" s="511">
        <f t="shared" si="30"/>
        <v>3103925.4805194819</v>
      </c>
      <c r="G118" s="511">
        <f t="shared" si="31"/>
        <v>3263473.0519480533</v>
      </c>
      <c r="H118" s="646">
        <f t="shared" si="32"/>
        <v>666372.72911022056</v>
      </c>
      <c r="I118" s="628">
        <f t="shared" si="33"/>
        <v>666372.72911022056</v>
      </c>
      <c r="J118" s="505">
        <f t="shared" si="19"/>
        <v>0</v>
      </c>
      <c r="K118" s="505"/>
      <c r="L118" s="513"/>
      <c r="M118" s="505">
        <f t="shared" si="34"/>
        <v>0</v>
      </c>
      <c r="N118" s="513"/>
      <c r="O118" s="505">
        <f t="shared" si="35"/>
        <v>0</v>
      </c>
      <c r="P118" s="505">
        <f t="shared" si="36"/>
        <v>0</v>
      </c>
    </row>
    <row r="119" spans="2:16" ht="12.5">
      <c r="B119" s="145" t="str">
        <f t="shared" si="18"/>
        <v/>
      </c>
      <c r="C119" s="496">
        <f>IF(D94="","-",+C118+1)</f>
        <v>2037</v>
      </c>
      <c r="D119" s="350">
        <f>IF(F118+SUM(E$100:E118)=D$93,F118,D$93-SUM(E$100:E118))</f>
        <v>3103925.4805194819</v>
      </c>
      <c r="E119" s="510">
        <f t="shared" si="29"/>
        <v>319095.14285714284</v>
      </c>
      <c r="F119" s="511">
        <f t="shared" si="30"/>
        <v>2784830.3376623392</v>
      </c>
      <c r="G119" s="511">
        <f t="shared" si="31"/>
        <v>2944377.9090909106</v>
      </c>
      <c r="H119" s="646">
        <f t="shared" si="32"/>
        <v>632416.6984543642</v>
      </c>
      <c r="I119" s="628">
        <f t="shared" si="33"/>
        <v>632416.6984543642</v>
      </c>
      <c r="J119" s="505">
        <f t="shared" si="19"/>
        <v>0</v>
      </c>
      <c r="K119" s="505"/>
      <c r="L119" s="513"/>
      <c r="M119" s="505">
        <f t="shared" si="34"/>
        <v>0</v>
      </c>
      <c r="N119" s="513"/>
      <c r="O119" s="505">
        <f t="shared" si="35"/>
        <v>0</v>
      </c>
      <c r="P119" s="505">
        <f t="shared" si="36"/>
        <v>0</v>
      </c>
    </row>
    <row r="120" spans="2:16" ht="12.5">
      <c r="B120" s="145" t="str">
        <f t="shared" si="18"/>
        <v/>
      </c>
      <c r="C120" s="496">
        <f>IF(D94="","-",+C119+1)</f>
        <v>2038</v>
      </c>
      <c r="D120" s="350">
        <f>IF(F119+SUM(E$100:E119)=D$93,F119,D$93-SUM(E$100:E119))</f>
        <v>2784830.3376623392</v>
      </c>
      <c r="E120" s="510">
        <f t="shared" si="29"/>
        <v>319095.14285714284</v>
      </c>
      <c r="F120" s="511">
        <f t="shared" si="30"/>
        <v>2465735.1948051965</v>
      </c>
      <c r="G120" s="511">
        <f t="shared" si="31"/>
        <v>2625282.7662337678</v>
      </c>
      <c r="H120" s="646">
        <f t="shared" si="32"/>
        <v>598460.66779850773</v>
      </c>
      <c r="I120" s="628">
        <f t="shared" si="33"/>
        <v>598460.66779850773</v>
      </c>
      <c r="J120" s="505">
        <f t="shared" si="19"/>
        <v>0</v>
      </c>
      <c r="K120" s="505"/>
      <c r="L120" s="513"/>
      <c r="M120" s="505">
        <f t="shared" si="34"/>
        <v>0</v>
      </c>
      <c r="N120" s="513"/>
      <c r="O120" s="505">
        <f t="shared" si="35"/>
        <v>0</v>
      </c>
      <c r="P120" s="505">
        <f t="shared" si="36"/>
        <v>0</v>
      </c>
    </row>
    <row r="121" spans="2:16" ht="12.5">
      <c r="B121" s="145" t="str">
        <f t="shared" si="18"/>
        <v/>
      </c>
      <c r="C121" s="496">
        <f>IF(D94="","-",+C120+1)</f>
        <v>2039</v>
      </c>
      <c r="D121" s="350">
        <f>IF(F120+SUM(E$100:E120)=D$93,F120,D$93-SUM(E$100:E120))</f>
        <v>2465735.1948051965</v>
      </c>
      <c r="E121" s="510">
        <f t="shared" si="29"/>
        <v>319095.14285714284</v>
      </c>
      <c r="F121" s="511">
        <f t="shared" si="30"/>
        <v>2146640.0519480538</v>
      </c>
      <c r="G121" s="511">
        <f t="shared" si="31"/>
        <v>2306187.6233766251</v>
      </c>
      <c r="H121" s="646">
        <f t="shared" si="32"/>
        <v>564504.63714265125</v>
      </c>
      <c r="I121" s="628">
        <f t="shared" si="33"/>
        <v>564504.63714265125</v>
      </c>
      <c r="J121" s="505">
        <f t="shared" si="19"/>
        <v>0</v>
      </c>
      <c r="K121" s="505"/>
      <c r="L121" s="513"/>
      <c r="M121" s="505">
        <f t="shared" si="34"/>
        <v>0</v>
      </c>
      <c r="N121" s="513"/>
      <c r="O121" s="505">
        <f t="shared" si="35"/>
        <v>0</v>
      </c>
      <c r="P121" s="505">
        <f t="shared" si="36"/>
        <v>0</v>
      </c>
    </row>
    <row r="122" spans="2:16" ht="12.5">
      <c r="B122" s="145" t="str">
        <f t="shared" si="18"/>
        <v/>
      </c>
      <c r="C122" s="496">
        <f>IF(D94="","-",+C121+1)</f>
        <v>2040</v>
      </c>
      <c r="D122" s="350">
        <f>IF(F121+SUM(E$100:E121)=D$93,F121,D$93-SUM(E$100:E121))</f>
        <v>2146640.0519480538</v>
      </c>
      <c r="E122" s="510">
        <f t="shared" si="29"/>
        <v>319095.14285714284</v>
      </c>
      <c r="F122" s="511">
        <f t="shared" si="30"/>
        <v>1827544.909090911</v>
      </c>
      <c r="G122" s="511">
        <f t="shared" si="31"/>
        <v>1987092.4805194824</v>
      </c>
      <c r="H122" s="646">
        <f t="shared" si="32"/>
        <v>530548.60648679477</v>
      </c>
      <c r="I122" s="628">
        <f t="shared" si="33"/>
        <v>530548.60648679477</v>
      </c>
      <c r="J122" s="505">
        <f t="shared" si="19"/>
        <v>0</v>
      </c>
      <c r="K122" s="505"/>
      <c r="L122" s="513"/>
      <c r="M122" s="505">
        <f t="shared" si="34"/>
        <v>0</v>
      </c>
      <c r="N122" s="513"/>
      <c r="O122" s="505">
        <f t="shared" si="35"/>
        <v>0</v>
      </c>
      <c r="P122" s="505">
        <f t="shared" si="36"/>
        <v>0</v>
      </c>
    </row>
    <row r="123" spans="2:16" ht="12.5">
      <c r="B123" s="145" t="str">
        <f t="shared" si="18"/>
        <v/>
      </c>
      <c r="C123" s="496">
        <f>IF(D94="","-",+C122+1)</f>
        <v>2041</v>
      </c>
      <c r="D123" s="350">
        <f>IF(F122+SUM(E$100:E122)=D$93,F122,D$93-SUM(E$100:E122))</f>
        <v>1827544.909090911</v>
      </c>
      <c r="E123" s="510">
        <f t="shared" si="29"/>
        <v>319095.14285714284</v>
      </c>
      <c r="F123" s="511">
        <f t="shared" si="30"/>
        <v>1508449.7662337683</v>
      </c>
      <c r="G123" s="511">
        <f t="shared" si="31"/>
        <v>1667997.3376623397</v>
      </c>
      <c r="H123" s="646">
        <f t="shared" si="32"/>
        <v>496592.57583093829</v>
      </c>
      <c r="I123" s="628">
        <f t="shared" si="33"/>
        <v>496592.57583093829</v>
      </c>
      <c r="J123" s="505">
        <f t="shared" si="19"/>
        <v>0</v>
      </c>
      <c r="K123" s="505"/>
      <c r="L123" s="513"/>
      <c r="M123" s="505">
        <f t="shared" si="34"/>
        <v>0</v>
      </c>
      <c r="N123" s="513"/>
      <c r="O123" s="505">
        <f t="shared" si="35"/>
        <v>0</v>
      </c>
      <c r="P123" s="505">
        <f t="shared" si="36"/>
        <v>0</v>
      </c>
    </row>
    <row r="124" spans="2:16" ht="12.5">
      <c r="B124" s="145" t="str">
        <f t="shared" si="18"/>
        <v/>
      </c>
      <c r="C124" s="496">
        <f>IF(D94="","-",+C123+1)</f>
        <v>2042</v>
      </c>
      <c r="D124" s="350">
        <f>IF(F123+SUM(E$100:E123)=D$93,F123,D$93-SUM(E$100:E123))</f>
        <v>1508449.7662337683</v>
      </c>
      <c r="E124" s="510">
        <f t="shared" si="29"/>
        <v>319095.14285714284</v>
      </c>
      <c r="F124" s="511">
        <f t="shared" si="30"/>
        <v>1189354.6233766256</v>
      </c>
      <c r="G124" s="511">
        <f t="shared" si="31"/>
        <v>1348902.194805197</v>
      </c>
      <c r="H124" s="646">
        <f t="shared" si="32"/>
        <v>462636.54517508182</v>
      </c>
      <c r="I124" s="628">
        <f t="shared" si="33"/>
        <v>462636.54517508182</v>
      </c>
      <c r="J124" s="505">
        <f t="shared" si="19"/>
        <v>0</v>
      </c>
      <c r="K124" s="505"/>
      <c r="L124" s="513"/>
      <c r="M124" s="505">
        <f t="shared" si="34"/>
        <v>0</v>
      </c>
      <c r="N124" s="513"/>
      <c r="O124" s="505">
        <f t="shared" si="35"/>
        <v>0</v>
      </c>
      <c r="P124" s="505">
        <f t="shared" si="36"/>
        <v>0</v>
      </c>
    </row>
    <row r="125" spans="2:16" ht="12.5">
      <c r="B125" s="145" t="str">
        <f t="shared" si="18"/>
        <v/>
      </c>
      <c r="C125" s="496">
        <f>IF(D94="","-",+C124+1)</f>
        <v>2043</v>
      </c>
      <c r="D125" s="350">
        <f>IF(F124+SUM(E$100:E124)=D$93,F124,D$93-SUM(E$100:E124))</f>
        <v>1189354.6233766256</v>
      </c>
      <c r="E125" s="510">
        <f t="shared" si="29"/>
        <v>319095.14285714284</v>
      </c>
      <c r="F125" s="511">
        <f t="shared" si="30"/>
        <v>870259.48051948275</v>
      </c>
      <c r="G125" s="511">
        <f t="shared" si="31"/>
        <v>1029807.0519480542</v>
      </c>
      <c r="H125" s="646">
        <f t="shared" si="32"/>
        <v>428680.51451922534</v>
      </c>
      <c r="I125" s="628">
        <f t="shared" si="33"/>
        <v>428680.51451922534</v>
      </c>
      <c r="J125" s="505">
        <f t="shared" si="19"/>
        <v>0</v>
      </c>
      <c r="K125" s="505"/>
      <c r="L125" s="513"/>
      <c r="M125" s="505">
        <f t="shared" si="34"/>
        <v>0</v>
      </c>
      <c r="N125" s="513"/>
      <c r="O125" s="505">
        <f t="shared" si="35"/>
        <v>0</v>
      </c>
      <c r="P125" s="505">
        <f t="shared" si="36"/>
        <v>0</v>
      </c>
    </row>
    <row r="126" spans="2:16" ht="12.5">
      <c r="B126" s="145" t="str">
        <f t="shared" si="18"/>
        <v/>
      </c>
      <c r="C126" s="496">
        <f>IF(D94="","-",+C125+1)</f>
        <v>2044</v>
      </c>
      <c r="D126" s="350">
        <f>IF(F125+SUM(E$100:E125)=D$93,F125,D$93-SUM(E$100:E125))</f>
        <v>870259.48051948275</v>
      </c>
      <c r="E126" s="510">
        <f t="shared" si="29"/>
        <v>319095.14285714284</v>
      </c>
      <c r="F126" s="511">
        <f t="shared" si="30"/>
        <v>551164.33766233991</v>
      </c>
      <c r="G126" s="511">
        <f t="shared" si="31"/>
        <v>710711.90909091127</v>
      </c>
      <c r="H126" s="646">
        <f t="shared" si="32"/>
        <v>394724.48386336886</v>
      </c>
      <c r="I126" s="628">
        <f t="shared" si="33"/>
        <v>394724.48386336886</v>
      </c>
      <c r="J126" s="505">
        <f t="shared" si="19"/>
        <v>0</v>
      </c>
      <c r="K126" s="505"/>
      <c r="L126" s="513"/>
      <c r="M126" s="505">
        <f t="shared" si="34"/>
        <v>0</v>
      </c>
      <c r="N126" s="513"/>
      <c r="O126" s="505">
        <f t="shared" si="35"/>
        <v>0</v>
      </c>
      <c r="P126" s="505">
        <f t="shared" si="36"/>
        <v>0</v>
      </c>
    </row>
    <row r="127" spans="2:16" ht="12.5">
      <c r="B127" s="145" t="str">
        <f t="shared" si="18"/>
        <v/>
      </c>
      <c r="C127" s="496">
        <f>IF(D94="","-",+C126+1)</f>
        <v>2045</v>
      </c>
      <c r="D127" s="350">
        <f>IF(F126+SUM(E$100:E126)=D$93,F126,D$93-SUM(E$100:E126))</f>
        <v>551164.33766233991</v>
      </c>
      <c r="E127" s="510">
        <f t="shared" si="29"/>
        <v>319095.14285714284</v>
      </c>
      <c r="F127" s="511">
        <f t="shared" si="30"/>
        <v>232069.19480519707</v>
      </c>
      <c r="G127" s="511">
        <f t="shared" si="31"/>
        <v>391616.76623376849</v>
      </c>
      <c r="H127" s="646">
        <f t="shared" si="32"/>
        <v>360768.45320751239</v>
      </c>
      <c r="I127" s="628">
        <f t="shared" si="33"/>
        <v>360768.45320751239</v>
      </c>
      <c r="J127" s="505">
        <f t="shared" si="19"/>
        <v>0</v>
      </c>
      <c r="K127" s="505"/>
      <c r="L127" s="513"/>
      <c r="M127" s="505">
        <f t="shared" si="34"/>
        <v>0</v>
      </c>
      <c r="N127" s="513"/>
      <c r="O127" s="505">
        <f t="shared" si="35"/>
        <v>0</v>
      </c>
      <c r="P127" s="505">
        <f t="shared" si="36"/>
        <v>0</v>
      </c>
    </row>
    <row r="128" spans="2:16" ht="12.5">
      <c r="B128" s="145" t="str">
        <f t="shared" si="18"/>
        <v/>
      </c>
      <c r="C128" s="496">
        <f>IF(D94="","-",+C127+1)</f>
        <v>2046</v>
      </c>
      <c r="D128" s="350">
        <f>IF(F127+SUM(E$100:E127)=D$93,F127,D$93-SUM(E$100:E127))</f>
        <v>232069.19480519707</v>
      </c>
      <c r="E128" s="510">
        <f t="shared" si="29"/>
        <v>232069.19480519707</v>
      </c>
      <c r="F128" s="511">
        <f t="shared" si="30"/>
        <v>0</v>
      </c>
      <c r="G128" s="511">
        <f t="shared" si="31"/>
        <v>116034.59740259853</v>
      </c>
      <c r="H128" s="646">
        <f t="shared" si="32"/>
        <v>244416.84231641772</v>
      </c>
      <c r="I128" s="628">
        <f t="shared" si="33"/>
        <v>244416.84231641772</v>
      </c>
      <c r="J128" s="505">
        <f t="shared" si="19"/>
        <v>0</v>
      </c>
      <c r="K128" s="505"/>
      <c r="L128" s="513"/>
      <c r="M128" s="505">
        <f t="shared" si="34"/>
        <v>0</v>
      </c>
      <c r="N128" s="513"/>
      <c r="O128" s="505">
        <f t="shared" si="35"/>
        <v>0</v>
      </c>
      <c r="P128" s="505">
        <f t="shared" si="36"/>
        <v>0</v>
      </c>
    </row>
    <row r="129" spans="2:16" ht="12.5">
      <c r="B129" s="145" t="str">
        <f t="shared" si="18"/>
        <v/>
      </c>
      <c r="C129" s="496">
        <f>IF(D94="","-",+C128+1)</f>
        <v>2047</v>
      </c>
      <c r="D129" s="350">
        <f>IF(F128+SUM(E$100:E128)=D$93,F128,D$93-SUM(E$100:E128))</f>
        <v>0</v>
      </c>
      <c r="E129" s="510">
        <f t="shared" si="29"/>
        <v>0</v>
      </c>
      <c r="F129" s="511">
        <f t="shared" si="30"/>
        <v>0</v>
      </c>
      <c r="G129" s="511">
        <f t="shared" si="31"/>
        <v>0</v>
      </c>
      <c r="H129" s="646">
        <f t="shared" si="32"/>
        <v>0</v>
      </c>
      <c r="I129" s="628">
        <f t="shared" si="33"/>
        <v>0</v>
      </c>
      <c r="J129" s="505">
        <f t="shared" si="19"/>
        <v>0</v>
      </c>
      <c r="K129" s="505"/>
      <c r="L129" s="513"/>
      <c r="M129" s="505">
        <f t="shared" si="34"/>
        <v>0</v>
      </c>
      <c r="N129" s="513"/>
      <c r="O129" s="505">
        <f t="shared" si="35"/>
        <v>0</v>
      </c>
      <c r="P129" s="505">
        <f t="shared" si="36"/>
        <v>0</v>
      </c>
    </row>
    <row r="130" spans="2:16" ht="12.5">
      <c r="B130" s="145" t="str">
        <f t="shared" si="18"/>
        <v/>
      </c>
      <c r="C130" s="496">
        <f>IF(D94="","-",+C129+1)</f>
        <v>2048</v>
      </c>
      <c r="D130" s="350">
        <f>IF(F129+SUM(E$100:E129)=D$93,F129,D$93-SUM(E$100:E129))</f>
        <v>0</v>
      </c>
      <c r="E130" s="510">
        <f t="shared" si="29"/>
        <v>0</v>
      </c>
      <c r="F130" s="511">
        <f t="shared" si="30"/>
        <v>0</v>
      </c>
      <c r="G130" s="511">
        <f t="shared" si="31"/>
        <v>0</v>
      </c>
      <c r="H130" s="646">
        <f t="shared" si="32"/>
        <v>0</v>
      </c>
      <c r="I130" s="628">
        <f t="shared" si="33"/>
        <v>0</v>
      </c>
      <c r="J130" s="505">
        <f t="shared" si="19"/>
        <v>0</v>
      </c>
      <c r="K130" s="505"/>
      <c r="L130" s="513"/>
      <c r="M130" s="505">
        <f t="shared" si="34"/>
        <v>0</v>
      </c>
      <c r="N130" s="513"/>
      <c r="O130" s="505">
        <f t="shared" si="35"/>
        <v>0</v>
      </c>
      <c r="P130" s="505">
        <f t="shared" si="36"/>
        <v>0</v>
      </c>
    </row>
    <row r="131" spans="2:16" ht="12.5">
      <c r="B131" s="145" t="str">
        <f t="shared" si="18"/>
        <v/>
      </c>
      <c r="C131" s="496">
        <f>IF(D94="","-",+C130+1)</f>
        <v>2049</v>
      </c>
      <c r="D131" s="350">
        <f>IF(F130+SUM(E$100:E130)=D$93,F130,D$93-SUM(E$100:E130))</f>
        <v>0</v>
      </c>
      <c r="E131" s="510">
        <f t="shared" si="29"/>
        <v>0</v>
      </c>
      <c r="F131" s="511">
        <f t="shared" si="30"/>
        <v>0</v>
      </c>
      <c r="G131" s="511">
        <f t="shared" si="31"/>
        <v>0</v>
      </c>
      <c r="H131" s="646">
        <f t="shared" si="32"/>
        <v>0</v>
      </c>
      <c r="I131" s="628">
        <f t="shared" si="33"/>
        <v>0</v>
      </c>
      <c r="J131" s="505">
        <f t="shared" si="19"/>
        <v>0</v>
      </c>
      <c r="K131" s="505"/>
      <c r="L131" s="513"/>
      <c r="M131" s="505">
        <f t="shared" si="34"/>
        <v>0</v>
      </c>
      <c r="N131" s="513"/>
      <c r="O131" s="505">
        <f t="shared" si="35"/>
        <v>0</v>
      </c>
      <c r="P131" s="505">
        <f t="shared" si="36"/>
        <v>0</v>
      </c>
    </row>
    <row r="132" spans="2:16" ht="12.5">
      <c r="B132" s="145" t="str">
        <f t="shared" si="18"/>
        <v/>
      </c>
      <c r="C132" s="496">
        <f>IF(D94="","-",+C131+1)</f>
        <v>2050</v>
      </c>
      <c r="D132" s="350">
        <f>IF(F131+SUM(E$100:E131)=D$93,F131,D$93-SUM(E$100:E131))</f>
        <v>0</v>
      </c>
      <c r="E132" s="510">
        <f t="shared" si="29"/>
        <v>0</v>
      </c>
      <c r="F132" s="511">
        <f t="shared" si="30"/>
        <v>0</v>
      </c>
      <c r="G132" s="511">
        <f t="shared" si="31"/>
        <v>0</v>
      </c>
      <c r="H132" s="646">
        <f t="shared" si="32"/>
        <v>0</v>
      </c>
      <c r="I132" s="628">
        <f t="shared" si="33"/>
        <v>0</v>
      </c>
      <c r="J132" s="505">
        <f t="shared" ref="J132:J155" si="37">+I542-H542</f>
        <v>0</v>
      </c>
      <c r="K132" s="505"/>
      <c r="L132" s="513"/>
      <c r="M132" s="505">
        <f t="shared" ref="M132:M155" si="38">IF(L542&lt;&gt;0,+H542-L542,0)</f>
        <v>0</v>
      </c>
      <c r="N132" s="513"/>
      <c r="O132" s="505">
        <f t="shared" ref="O132:O155" si="39">IF(N542&lt;&gt;0,+I542-N542,0)</f>
        <v>0</v>
      </c>
      <c r="P132" s="505">
        <f t="shared" ref="P132:P155" si="40">+O542-M542</f>
        <v>0</v>
      </c>
    </row>
    <row r="133" spans="2:16" ht="12.5">
      <c r="B133" s="145" t="str">
        <f t="shared" si="18"/>
        <v/>
      </c>
      <c r="C133" s="496">
        <f>IF(D94="","-",+C132+1)</f>
        <v>2051</v>
      </c>
      <c r="D133" s="350">
        <f>IF(F132+SUM(E$100:E132)=D$93,F132,D$93-SUM(E$100:E132))</f>
        <v>0</v>
      </c>
      <c r="E133" s="510">
        <f t="shared" si="29"/>
        <v>0</v>
      </c>
      <c r="F133" s="511">
        <f t="shared" si="30"/>
        <v>0</v>
      </c>
      <c r="G133" s="511">
        <f t="shared" si="31"/>
        <v>0</v>
      </c>
      <c r="H133" s="646">
        <f t="shared" si="32"/>
        <v>0</v>
      </c>
      <c r="I133" s="628">
        <f t="shared" si="33"/>
        <v>0</v>
      </c>
      <c r="J133" s="505">
        <f t="shared" si="37"/>
        <v>0</v>
      </c>
      <c r="K133" s="505"/>
      <c r="L133" s="513"/>
      <c r="M133" s="505">
        <f t="shared" si="38"/>
        <v>0</v>
      </c>
      <c r="N133" s="513"/>
      <c r="O133" s="505">
        <f t="shared" si="39"/>
        <v>0</v>
      </c>
      <c r="P133" s="505">
        <f t="shared" si="40"/>
        <v>0</v>
      </c>
    </row>
    <row r="134" spans="2:16" ht="12.5">
      <c r="B134" s="145" t="str">
        <f t="shared" si="18"/>
        <v/>
      </c>
      <c r="C134" s="496">
        <f>IF(D94="","-",+C133+1)</f>
        <v>2052</v>
      </c>
      <c r="D134" s="350">
        <f>IF(F133+SUM(E$100:E133)=D$93,F133,D$93-SUM(E$100:E133))</f>
        <v>0</v>
      </c>
      <c r="E134" s="510">
        <f t="shared" si="29"/>
        <v>0</v>
      </c>
      <c r="F134" s="511">
        <f t="shared" si="30"/>
        <v>0</v>
      </c>
      <c r="G134" s="511">
        <f t="shared" si="31"/>
        <v>0</v>
      </c>
      <c r="H134" s="646">
        <f t="shared" si="32"/>
        <v>0</v>
      </c>
      <c r="I134" s="628">
        <f t="shared" si="33"/>
        <v>0</v>
      </c>
      <c r="J134" s="505">
        <f t="shared" si="37"/>
        <v>0</v>
      </c>
      <c r="K134" s="505"/>
      <c r="L134" s="513"/>
      <c r="M134" s="505">
        <f t="shared" si="38"/>
        <v>0</v>
      </c>
      <c r="N134" s="513"/>
      <c r="O134" s="505">
        <f t="shared" si="39"/>
        <v>0</v>
      </c>
      <c r="P134" s="505">
        <f t="shared" si="40"/>
        <v>0</v>
      </c>
    </row>
    <row r="135" spans="2:16" ht="12.5">
      <c r="B135" s="145" t="str">
        <f t="shared" si="18"/>
        <v/>
      </c>
      <c r="C135" s="496">
        <f>IF(D94="","-",+C134+1)</f>
        <v>2053</v>
      </c>
      <c r="D135" s="350">
        <f>IF(F134+SUM(E$100:E134)=D$93,F134,D$93-SUM(E$100:E134))</f>
        <v>0</v>
      </c>
      <c r="E135" s="510">
        <f t="shared" si="29"/>
        <v>0</v>
      </c>
      <c r="F135" s="511">
        <f t="shared" si="30"/>
        <v>0</v>
      </c>
      <c r="G135" s="511">
        <f t="shared" si="31"/>
        <v>0</v>
      </c>
      <c r="H135" s="646">
        <f t="shared" si="32"/>
        <v>0</v>
      </c>
      <c r="I135" s="628">
        <f t="shared" si="33"/>
        <v>0</v>
      </c>
      <c r="J135" s="505">
        <f t="shared" si="37"/>
        <v>0</v>
      </c>
      <c r="K135" s="505"/>
      <c r="L135" s="513"/>
      <c r="M135" s="505">
        <f t="shared" si="38"/>
        <v>0</v>
      </c>
      <c r="N135" s="513"/>
      <c r="O135" s="505">
        <f t="shared" si="39"/>
        <v>0</v>
      </c>
      <c r="P135" s="505">
        <f t="shared" si="40"/>
        <v>0</v>
      </c>
    </row>
    <row r="136" spans="2:16" ht="12.5">
      <c r="B136" s="145" t="str">
        <f t="shared" si="18"/>
        <v/>
      </c>
      <c r="C136" s="496">
        <f>IF(D94="","-",+C135+1)</f>
        <v>2054</v>
      </c>
      <c r="D136" s="350">
        <f>IF(F135+SUM(E$100:E135)=D$93,F135,D$93-SUM(E$100:E135))</f>
        <v>0</v>
      </c>
      <c r="E136" s="510">
        <f t="shared" si="29"/>
        <v>0</v>
      </c>
      <c r="F136" s="511">
        <f t="shared" si="30"/>
        <v>0</v>
      </c>
      <c r="G136" s="511">
        <f t="shared" si="31"/>
        <v>0</v>
      </c>
      <c r="H136" s="646">
        <f t="shared" si="32"/>
        <v>0</v>
      </c>
      <c r="I136" s="628">
        <f t="shared" si="33"/>
        <v>0</v>
      </c>
      <c r="J136" s="505">
        <f t="shared" si="37"/>
        <v>0</v>
      </c>
      <c r="K136" s="505"/>
      <c r="L136" s="513"/>
      <c r="M136" s="505">
        <f t="shared" si="38"/>
        <v>0</v>
      </c>
      <c r="N136" s="513"/>
      <c r="O136" s="505">
        <f t="shared" si="39"/>
        <v>0</v>
      </c>
      <c r="P136" s="505">
        <f t="shared" si="40"/>
        <v>0</v>
      </c>
    </row>
    <row r="137" spans="2:16" ht="12.5">
      <c r="B137" s="145" t="str">
        <f t="shared" si="18"/>
        <v/>
      </c>
      <c r="C137" s="496">
        <f>IF(D94="","-",+C136+1)</f>
        <v>2055</v>
      </c>
      <c r="D137" s="350">
        <f>IF(F136+SUM(E$100:E136)=D$93,F136,D$93-SUM(E$100:E136))</f>
        <v>0</v>
      </c>
      <c r="E137" s="510">
        <f t="shared" si="29"/>
        <v>0</v>
      </c>
      <c r="F137" s="511">
        <f t="shared" si="30"/>
        <v>0</v>
      </c>
      <c r="G137" s="511">
        <f t="shared" si="31"/>
        <v>0</v>
      </c>
      <c r="H137" s="646">
        <f t="shared" si="32"/>
        <v>0</v>
      </c>
      <c r="I137" s="628">
        <f t="shared" si="33"/>
        <v>0</v>
      </c>
      <c r="J137" s="505">
        <f t="shared" si="37"/>
        <v>0</v>
      </c>
      <c r="K137" s="505"/>
      <c r="L137" s="513"/>
      <c r="M137" s="505">
        <f t="shared" si="38"/>
        <v>0</v>
      </c>
      <c r="N137" s="513"/>
      <c r="O137" s="505">
        <f t="shared" si="39"/>
        <v>0</v>
      </c>
      <c r="P137" s="505">
        <f t="shared" si="40"/>
        <v>0</v>
      </c>
    </row>
    <row r="138" spans="2:16" ht="12.5">
      <c r="B138" s="145" t="str">
        <f t="shared" si="18"/>
        <v/>
      </c>
      <c r="C138" s="496">
        <f>IF(D94="","-",+C137+1)</f>
        <v>2056</v>
      </c>
      <c r="D138" s="350">
        <f>IF(F137+SUM(E$100:E137)=D$93,F137,D$93-SUM(E$100:E137))</f>
        <v>0</v>
      </c>
      <c r="E138" s="510">
        <f t="shared" si="29"/>
        <v>0</v>
      </c>
      <c r="F138" s="511">
        <f t="shared" si="30"/>
        <v>0</v>
      </c>
      <c r="G138" s="511">
        <f t="shared" si="31"/>
        <v>0</v>
      </c>
      <c r="H138" s="646">
        <f t="shared" si="32"/>
        <v>0</v>
      </c>
      <c r="I138" s="628">
        <f t="shared" si="33"/>
        <v>0</v>
      </c>
      <c r="J138" s="505">
        <f t="shared" si="37"/>
        <v>0</v>
      </c>
      <c r="K138" s="505"/>
      <c r="L138" s="513"/>
      <c r="M138" s="505">
        <f t="shared" si="38"/>
        <v>0</v>
      </c>
      <c r="N138" s="513"/>
      <c r="O138" s="505">
        <f t="shared" si="39"/>
        <v>0</v>
      </c>
      <c r="P138" s="505">
        <f t="shared" si="40"/>
        <v>0</v>
      </c>
    </row>
    <row r="139" spans="2:16" ht="12.5">
      <c r="B139" s="145" t="str">
        <f t="shared" si="18"/>
        <v/>
      </c>
      <c r="C139" s="496">
        <f>IF(D94="","-",+C138+1)</f>
        <v>2057</v>
      </c>
      <c r="D139" s="350">
        <f>IF(F138+SUM(E$100:E138)=D$93,F138,D$93-SUM(E$100:E138))</f>
        <v>0</v>
      </c>
      <c r="E139" s="510">
        <f t="shared" si="29"/>
        <v>0</v>
      </c>
      <c r="F139" s="511">
        <f t="shared" si="30"/>
        <v>0</v>
      </c>
      <c r="G139" s="511">
        <f t="shared" si="31"/>
        <v>0</v>
      </c>
      <c r="H139" s="646">
        <f t="shared" si="32"/>
        <v>0</v>
      </c>
      <c r="I139" s="628">
        <f t="shared" si="33"/>
        <v>0</v>
      </c>
      <c r="J139" s="505">
        <f t="shared" si="37"/>
        <v>0</v>
      </c>
      <c r="K139" s="505"/>
      <c r="L139" s="513"/>
      <c r="M139" s="505">
        <f t="shared" si="38"/>
        <v>0</v>
      </c>
      <c r="N139" s="513"/>
      <c r="O139" s="505">
        <f t="shared" si="39"/>
        <v>0</v>
      </c>
      <c r="P139" s="505">
        <f t="shared" si="40"/>
        <v>0</v>
      </c>
    </row>
    <row r="140" spans="2:16" ht="12.5">
      <c r="B140" s="145" t="str">
        <f t="shared" si="18"/>
        <v/>
      </c>
      <c r="C140" s="496">
        <f>IF(D94="","-",+C139+1)</f>
        <v>2058</v>
      </c>
      <c r="D140" s="350">
        <f>IF(F139+SUM(E$100:E139)=D$93,F139,D$93-SUM(E$100:E139))</f>
        <v>0</v>
      </c>
      <c r="E140" s="510">
        <f t="shared" si="29"/>
        <v>0</v>
      </c>
      <c r="F140" s="511">
        <f t="shared" si="30"/>
        <v>0</v>
      </c>
      <c r="G140" s="511">
        <f t="shared" si="31"/>
        <v>0</v>
      </c>
      <c r="H140" s="646">
        <f t="shared" si="32"/>
        <v>0</v>
      </c>
      <c r="I140" s="628">
        <f t="shared" si="33"/>
        <v>0</v>
      </c>
      <c r="J140" s="505">
        <f t="shared" si="37"/>
        <v>0</v>
      </c>
      <c r="K140" s="505"/>
      <c r="L140" s="513"/>
      <c r="M140" s="505">
        <f t="shared" si="38"/>
        <v>0</v>
      </c>
      <c r="N140" s="513"/>
      <c r="O140" s="505">
        <f t="shared" si="39"/>
        <v>0</v>
      </c>
      <c r="P140" s="505">
        <f t="shared" si="40"/>
        <v>0</v>
      </c>
    </row>
    <row r="141" spans="2:16" ht="12.5">
      <c r="B141" s="145" t="str">
        <f t="shared" si="18"/>
        <v/>
      </c>
      <c r="C141" s="496">
        <f>IF(D94="","-",+C140+1)</f>
        <v>2059</v>
      </c>
      <c r="D141" s="350">
        <f>IF(F140+SUM(E$100:E140)=D$93,F140,D$93-SUM(E$100:E140))</f>
        <v>0</v>
      </c>
      <c r="E141" s="510">
        <f t="shared" si="29"/>
        <v>0</v>
      </c>
      <c r="F141" s="511">
        <f t="shared" si="30"/>
        <v>0</v>
      </c>
      <c r="G141" s="511">
        <f t="shared" si="31"/>
        <v>0</v>
      </c>
      <c r="H141" s="646">
        <f t="shared" si="32"/>
        <v>0</v>
      </c>
      <c r="I141" s="628">
        <f t="shared" si="33"/>
        <v>0</v>
      </c>
      <c r="J141" s="505">
        <f t="shared" si="37"/>
        <v>0</v>
      </c>
      <c r="K141" s="505"/>
      <c r="L141" s="513"/>
      <c r="M141" s="505">
        <f t="shared" si="38"/>
        <v>0</v>
      </c>
      <c r="N141" s="513"/>
      <c r="O141" s="505">
        <f t="shared" si="39"/>
        <v>0</v>
      </c>
      <c r="P141" s="505">
        <f t="shared" si="40"/>
        <v>0</v>
      </c>
    </row>
    <row r="142" spans="2:16" ht="12.5">
      <c r="B142" s="145" t="str">
        <f t="shared" si="18"/>
        <v/>
      </c>
      <c r="C142" s="496">
        <f>IF(D94="","-",+C141+1)</f>
        <v>2060</v>
      </c>
      <c r="D142" s="350">
        <f>IF(F141+SUM(E$100:E141)=D$93,F141,D$93-SUM(E$100:E141))</f>
        <v>0</v>
      </c>
      <c r="E142" s="510">
        <f t="shared" si="29"/>
        <v>0</v>
      </c>
      <c r="F142" s="511">
        <f t="shared" si="30"/>
        <v>0</v>
      </c>
      <c r="G142" s="511">
        <f t="shared" si="31"/>
        <v>0</v>
      </c>
      <c r="H142" s="646">
        <f t="shared" si="32"/>
        <v>0</v>
      </c>
      <c r="I142" s="628">
        <f t="shared" si="33"/>
        <v>0</v>
      </c>
      <c r="J142" s="505">
        <f t="shared" si="37"/>
        <v>0</v>
      </c>
      <c r="K142" s="505"/>
      <c r="L142" s="513"/>
      <c r="M142" s="505">
        <f t="shared" si="38"/>
        <v>0</v>
      </c>
      <c r="N142" s="513"/>
      <c r="O142" s="505">
        <f t="shared" si="39"/>
        <v>0</v>
      </c>
      <c r="P142" s="505">
        <f t="shared" si="40"/>
        <v>0</v>
      </c>
    </row>
    <row r="143" spans="2:16" ht="12.5">
      <c r="B143" s="145" t="str">
        <f t="shared" si="18"/>
        <v/>
      </c>
      <c r="C143" s="496">
        <f>IF(D94="","-",+C142+1)</f>
        <v>2061</v>
      </c>
      <c r="D143" s="350">
        <f>IF(F142+SUM(E$100:E142)=D$93,F142,D$93-SUM(E$100:E142))</f>
        <v>0</v>
      </c>
      <c r="E143" s="510">
        <f t="shared" si="29"/>
        <v>0</v>
      </c>
      <c r="F143" s="511">
        <f t="shared" si="30"/>
        <v>0</v>
      </c>
      <c r="G143" s="511">
        <f t="shared" si="31"/>
        <v>0</v>
      </c>
      <c r="H143" s="646">
        <f t="shared" si="32"/>
        <v>0</v>
      </c>
      <c r="I143" s="628">
        <f t="shared" si="33"/>
        <v>0</v>
      </c>
      <c r="J143" s="505">
        <f t="shared" si="37"/>
        <v>0</v>
      </c>
      <c r="K143" s="505"/>
      <c r="L143" s="513"/>
      <c r="M143" s="505">
        <f t="shared" si="38"/>
        <v>0</v>
      </c>
      <c r="N143" s="513"/>
      <c r="O143" s="505">
        <f t="shared" si="39"/>
        <v>0</v>
      </c>
      <c r="P143" s="505">
        <f t="shared" si="40"/>
        <v>0</v>
      </c>
    </row>
    <row r="144" spans="2:16" ht="12.5">
      <c r="B144" s="145" t="str">
        <f t="shared" si="18"/>
        <v/>
      </c>
      <c r="C144" s="496">
        <f>IF(D94="","-",+C143+1)</f>
        <v>2062</v>
      </c>
      <c r="D144" s="350">
        <f>IF(F143+SUM(E$100:E143)=D$93,F143,D$93-SUM(E$100:E143))</f>
        <v>0</v>
      </c>
      <c r="E144" s="510">
        <f t="shared" si="29"/>
        <v>0</v>
      </c>
      <c r="F144" s="511">
        <f t="shared" si="30"/>
        <v>0</v>
      </c>
      <c r="G144" s="511">
        <f t="shared" si="31"/>
        <v>0</v>
      </c>
      <c r="H144" s="646">
        <f t="shared" si="32"/>
        <v>0</v>
      </c>
      <c r="I144" s="628">
        <f t="shared" si="33"/>
        <v>0</v>
      </c>
      <c r="J144" s="505">
        <f t="shared" si="37"/>
        <v>0</v>
      </c>
      <c r="K144" s="505"/>
      <c r="L144" s="513"/>
      <c r="M144" s="505">
        <f t="shared" si="38"/>
        <v>0</v>
      </c>
      <c r="N144" s="513"/>
      <c r="O144" s="505">
        <f t="shared" si="39"/>
        <v>0</v>
      </c>
      <c r="P144" s="505">
        <f t="shared" si="40"/>
        <v>0</v>
      </c>
    </row>
    <row r="145" spans="2:16" ht="12.5">
      <c r="B145" s="145" t="str">
        <f t="shared" si="18"/>
        <v/>
      </c>
      <c r="C145" s="496">
        <f>IF(D94="","-",+C144+1)</f>
        <v>2063</v>
      </c>
      <c r="D145" s="350">
        <f>IF(F144+SUM(E$100:E144)=D$93,F144,D$93-SUM(E$100:E144))</f>
        <v>0</v>
      </c>
      <c r="E145" s="510">
        <f t="shared" si="29"/>
        <v>0</v>
      </c>
      <c r="F145" s="511">
        <f t="shared" si="30"/>
        <v>0</v>
      </c>
      <c r="G145" s="511">
        <f t="shared" si="31"/>
        <v>0</v>
      </c>
      <c r="H145" s="646">
        <f t="shared" si="32"/>
        <v>0</v>
      </c>
      <c r="I145" s="628">
        <f t="shared" si="33"/>
        <v>0</v>
      </c>
      <c r="J145" s="505">
        <f t="shared" si="37"/>
        <v>0</v>
      </c>
      <c r="K145" s="505"/>
      <c r="L145" s="513"/>
      <c r="M145" s="505">
        <f t="shared" si="38"/>
        <v>0</v>
      </c>
      <c r="N145" s="513"/>
      <c r="O145" s="505">
        <f t="shared" si="39"/>
        <v>0</v>
      </c>
      <c r="P145" s="505">
        <f t="shared" si="40"/>
        <v>0</v>
      </c>
    </row>
    <row r="146" spans="2:16" ht="12.5">
      <c r="B146" s="145" t="str">
        <f t="shared" si="18"/>
        <v/>
      </c>
      <c r="C146" s="496">
        <f>IF(D94="","-",+C145+1)</f>
        <v>2064</v>
      </c>
      <c r="D146" s="350">
        <f>IF(F145+SUM(E$100:E145)=D$93,F145,D$93-SUM(E$100:E145))</f>
        <v>0</v>
      </c>
      <c r="E146" s="510">
        <f t="shared" si="29"/>
        <v>0</v>
      </c>
      <c r="F146" s="511">
        <f t="shared" si="30"/>
        <v>0</v>
      </c>
      <c r="G146" s="511">
        <f t="shared" si="31"/>
        <v>0</v>
      </c>
      <c r="H146" s="646">
        <f t="shared" si="32"/>
        <v>0</v>
      </c>
      <c r="I146" s="628">
        <f t="shared" si="33"/>
        <v>0</v>
      </c>
      <c r="J146" s="505">
        <f t="shared" si="37"/>
        <v>0</v>
      </c>
      <c r="K146" s="505"/>
      <c r="L146" s="513"/>
      <c r="M146" s="505">
        <f t="shared" si="38"/>
        <v>0</v>
      </c>
      <c r="N146" s="513"/>
      <c r="O146" s="505">
        <f t="shared" si="39"/>
        <v>0</v>
      </c>
      <c r="P146" s="505">
        <f t="shared" si="40"/>
        <v>0</v>
      </c>
    </row>
    <row r="147" spans="2:16" ht="12.5">
      <c r="B147" s="145" t="str">
        <f t="shared" si="18"/>
        <v/>
      </c>
      <c r="C147" s="496">
        <f>IF(D94="","-",+C146+1)</f>
        <v>2065</v>
      </c>
      <c r="D147" s="350">
        <f>IF(F146+SUM(E$100:E146)=D$93,F146,D$93-SUM(E$100:E146))</f>
        <v>0</v>
      </c>
      <c r="E147" s="510">
        <f t="shared" si="29"/>
        <v>0</v>
      </c>
      <c r="F147" s="511">
        <f t="shared" si="30"/>
        <v>0</v>
      </c>
      <c r="G147" s="511">
        <f t="shared" si="31"/>
        <v>0</v>
      </c>
      <c r="H147" s="646">
        <f t="shared" si="32"/>
        <v>0</v>
      </c>
      <c r="I147" s="628">
        <f t="shared" si="33"/>
        <v>0</v>
      </c>
      <c r="J147" s="505">
        <f t="shared" si="37"/>
        <v>0</v>
      </c>
      <c r="K147" s="505"/>
      <c r="L147" s="513"/>
      <c r="M147" s="505">
        <f t="shared" si="38"/>
        <v>0</v>
      </c>
      <c r="N147" s="513"/>
      <c r="O147" s="505">
        <f t="shared" si="39"/>
        <v>0</v>
      </c>
      <c r="P147" s="505">
        <f t="shared" si="40"/>
        <v>0</v>
      </c>
    </row>
    <row r="148" spans="2:16" ht="12.5">
      <c r="B148" s="145" t="str">
        <f t="shared" si="18"/>
        <v/>
      </c>
      <c r="C148" s="496">
        <f>IF(D94="","-",+C147+1)</f>
        <v>2066</v>
      </c>
      <c r="D148" s="350">
        <f>IF(F147+SUM(E$100:E147)=D$93,F147,D$93-SUM(E$100:E147))</f>
        <v>0</v>
      </c>
      <c r="E148" s="510">
        <f t="shared" si="29"/>
        <v>0</v>
      </c>
      <c r="F148" s="511">
        <f t="shared" si="30"/>
        <v>0</v>
      </c>
      <c r="G148" s="511">
        <f t="shared" si="31"/>
        <v>0</v>
      </c>
      <c r="H148" s="646">
        <f t="shared" si="32"/>
        <v>0</v>
      </c>
      <c r="I148" s="628">
        <f t="shared" si="33"/>
        <v>0</v>
      </c>
      <c r="J148" s="505">
        <f t="shared" si="37"/>
        <v>0</v>
      </c>
      <c r="K148" s="505"/>
      <c r="L148" s="513"/>
      <c r="M148" s="505">
        <f t="shared" si="38"/>
        <v>0</v>
      </c>
      <c r="N148" s="513"/>
      <c r="O148" s="505">
        <f t="shared" si="39"/>
        <v>0</v>
      </c>
      <c r="P148" s="505">
        <f t="shared" si="40"/>
        <v>0</v>
      </c>
    </row>
    <row r="149" spans="2:16" ht="12.5">
      <c r="B149" s="145" t="str">
        <f t="shared" si="18"/>
        <v/>
      </c>
      <c r="C149" s="496">
        <f>IF(D94="","-",+C148+1)</f>
        <v>2067</v>
      </c>
      <c r="D149" s="350">
        <f>IF(F148+SUM(E$100:E148)=D$93,F148,D$93-SUM(E$100:E148))</f>
        <v>0</v>
      </c>
      <c r="E149" s="510">
        <f t="shared" si="29"/>
        <v>0</v>
      </c>
      <c r="F149" s="511">
        <f t="shared" si="30"/>
        <v>0</v>
      </c>
      <c r="G149" s="511">
        <f t="shared" si="31"/>
        <v>0</v>
      </c>
      <c r="H149" s="646">
        <f t="shared" si="32"/>
        <v>0</v>
      </c>
      <c r="I149" s="628">
        <f t="shared" si="33"/>
        <v>0</v>
      </c>
      <c r="J149" s="505">
        <f t="shared" si="37"/>
        <v>0</v>
      </c>
      <c r="K149" s="505"/>
      <c r="L149" s="513"/>
      <c r="M149" s="505">
        <f t="shared" si="38"/>
        <v>0</v>
      </c>
      <c r="N149" s="513"/>
      <c r="O149" s="505">
        <f t="shared" si="39"/>
        <v>0</v>
      </c>
      <c r="P149" s="505">
        <f t="shared" si="40"/>
        <v>0</v>
      </c>
    </row>
    <row r="150" spans="2:16" ht="12.5">
      <c r="B150" s="145" t="str">
        <f t="shared" si="18"/>
        <v/>
      </c>
      <c r="C150" s="496">
        <f>IF(D94="","-",+C149+1)</f>
        <v>2068</v>
      </c>
      <c r="D150" s="350">
        <f>IF(F149+SUM(E$100:E149)=D$93,F149,D$93-SUM(E$100:E149))</f>
        <v>0</v>
      </c>
      <c r="E150" s="510">
        <f t="shared" si="29"/>
        <v>0</v>
      </c>
      <c r="F150" s="511">
        <f t="shared" si="30"/>
        <v>0</v>
      </c>
      <c r="G150" s="511">
        <f t="shared" si="31"/>
        <v>0</v>
      </c>
      <c r="H150" s="646">
        <f t="shared" si="32"/>
        <v>0</v>
      </c>
      <c r="I150" s="628">
        <f t="shared" si="33"/>
        <v>0</v>
      </c>
      <c r="J150" s="505">
        <f t="shared" si="37"/>
        <v>0</v>
      </c>
      <c r="K150" s="505"/>
      <c r="L150" s="513"/>
      <c r="M150" s="505">
        <f t="shared" si="38"/>
        <v>0</v>
      </c>
      <c r="N150" s="513"/>
      <c r="O150" s="505">
        <f t="shared" si="39"/>
        <v>0</v>
      </c>
      <c r="P150" s="505">
        <f t="shared" si="40"/>
        <v>0</v>
      </c>
    </row>
    <row r="151" spans="2:16" ht="12.5">
      <c r="B151" s="145" t="str">
        <f t="shared" si="18"/>
        <v/>
      </c>
      <c r="C151" s="496">
        <f>IF(D94="","-",+C150+1)</f>
        <v>2069</v>
      </c>
      <c r="D151" s="350">
        <f>IF(F150+SUM(E$100:E150)=D$93,F150,D$93-SUM(E$100:E150))</f>
        <v>0</v>
      </c>
      <c r="E151" s="510">
        <f t="shared" si="29"/>
        <v>0</v>
      </c>
      <c r="F151" s="511">
        <f t="shared" si="30"/>
        <v>0</v>
      </c>
      <c r="G151" s="511">
        <f t="shared" si="31"/>
        <v>0</v>
      </c>
      <c r="H151" s="646">
        <f t="shared" si="32"/>
        <v>0</v>
      </c>
      <c r="I151" s="628">
        <f t="shared" si="33"/>
        <v>0</v>
      </c>
      <c r="J151" s="505">
        <f t="shared" si="37"/>
        <v>0</v>
      </c>
      <c r="K151" s="505"/>
      <c r="L151" s="513"/>
      <c r="M151" s="505">
        <f t="shared" si="38"/>
        <v>0</v>
      </c>
      <c r="N151" s="513"/>
      <c r="O151" s="505">
        <f t="shared" si="39"/>
        <v>0</v>
      </c>
      <c r="P151" s="505">
        <f t="shared" si="40"/>
        <v>0</v>
      </c>
    </row>
    <row r="152" spans="2:16" ht="12.5">
      <c r="B152" s="145" t="str">
        <f t="shared" si="18"/>
        <v/>
      </c>
      <c r="C152" s="496">
        <f>IF(D94="","-",+C151+1)</f>
        <v>2070</v>
      </c>
      <c r="D152" s="350">
        <f>IF(F151+SUM(E$100:E151)=D$93,F151,D$93-SUM(E$100:E151))</f>
        <v>0</v>
      </c>
      <c r="E152" s="510">
        <f t="shared" si="29"/>
        <v>0</v>
      </c>
      <c r="F152" s="511">
        <f t="shared" si="30"/>
        <v>0</v>
      </c>
      <c r="G152" s="511">
        <f t="shared" si="31"/>
        <v>0</v>
      </c>
      <c r="H152" s="646">
        <f t="shared" si="32"/>
        <v>0</v>
      </c>
      <c r="I152" s="628">
        <f t="shared" si="33"/>
        <v>0</v>
      </c>
      <c r="J152" s="505">
        <f t="shared" si="37"/>
        <v>0</v>
      </c>
      <c r="K152" s="505"/>
      <c r="L152" s="513"/>
      <c r="M152" s="505">
        <f t="shared" si="38"/>
        <v>0</v>
      </c>
      <c r="N152" s="513"/>
      <c r="O152" s="505">
        <f t="shared" si="39"/>
        <v>0</v>
      </c>
      <c r="P152" s="505">
        <f t="shared" si="40"/>
        <v>0</v>
      </c>
    </row>
    <row r="153" spans="2:16" ht="12.5">
      <c r="B153" s="145" t="str">
        <f t="shared" si="18"/>
        <v/>
      </c>
      <c r="C153" s="496">
        <f>IF(D94="","-",+C152+1)</f>
        <v>2071</v>
      </c>
      <c r="D153" s="350">
        <f>IF(F152+SUM(E$100:E152)=D$93,F152,D$93-SUM(E$100:E152))</f>
        <v>0</v>
      </c>
      <c r="E153" s="510">
        <f t="shared" si="29"/>
        <v>0</v>
      </c>
      <c r="F153" s="511">
        <f t="shared" si="30"/>
        <v>0</v>
      </c>
      <c r="G153" s="511">
        <f t="shared" si="31"/>
        <v>0</v>
      </c>
      <c r="H153" s="646">
        <f t="shared" si="32"/>
        <v>0</v>
      </c>
      <c r="I153" s="628">
        <f t="shared" si="33"/>
        <v>0</v>
      </c>
      <c r="J153" s="505">
        <f t="shared" si="37"/>
        <v>0</v>
      </c>
      <c r="K153" s="505"/>
      <c r="L153" s="513"/>
      <c r="M153" s="505">
        <f t="shared" si="38"/>
        <v>0</v>
      </c>
      <c r="N153" s="513"/>
      <c r="O153" s="505">
        <f t="shared" si="39"/>
        <v>0</v>
      </c>
      <c r="P153" s="505">
        <f t="shared" si="40"/>
        <v>0</v>
      </c>
    </row>
    <row r="154" spans="2:16" ht="12.5">
      <c r="B154" s="145" t="str">
        <f t="shared" si="18"/>
        <v/>
      </c>
      <c r="C154" s="496">
        <f>IF(D94="","-",+C153+1)</f>
        <v>2072</v>
      </c>
      <c r="D154" s="350">
        <f>IF(F153+SUM(E$100:E153)=D$93,F153,D$93-SUM(E$100:E153))</f>
        <v>0</v>
      </c>
      <c r="E154" s="510">
        <f t="shared" si="29"/>
        <v>0</v>
      </c>
      <c r="F154" s="511">
        <f t="shared" si="30"/>
        <v>0</v>
      </c>
      <c r="G154" s="511">
        <f t="shared" si="31"/>
        <v>0</v>
      </c>
      <c r="H154" s="646">
        <f t="shared" si="32"/>
        <v>0</v>
      </c>
      <c r="I154" s="628">
        <f t="shared" si="33"/>
        <v>0</v>
      </c>
      <c r="J154" s="505">
        <f t="shared" si="37"/>
        <v>0</v>
      </c>
      <c r="K154" s="505"/>
      <c r="L154" s="513"/>
      <c r="M154" s="505">
        <f t="shared" si="38"/>
        <v>0</v>
      </c>
      <c r="N154" s="513"/>
      <c r="O154" s="505">
        <f t="shared" si="39"/>
        <v>0</v>
      </c>
      <c r="P154" s="505">
        <f t="shared" si="40"/>
        <v>0</v>
      </c>
    </row>
    <row r="155" spans="2:16" ht="13" thickBot="1">
      <c r="B155" s="145" t="str">
        <f t="shared" si="18"/>
        <v/>
      </c>
      <c r="C155" s="525">
        <f>IF(D94="","-",+C154+1)</f>
        <v>2073</v>
      </c>
      <c r="D155" s="636">
        <f>IF(F154+SUM(E$100:E154)=D$93,F154,D$93-SUM(E$100:E154))</f>
        <v>0</v>
      </c>
      <c r="E155" s="527">
        <f t="shared" si="29"/>
        <v>0</v>
      </c>
      <c r="F155" s="528">
        <f t="shared" si="30"/>
        <v>0</v>
      </c>
      <c r="G155" s="528">
        <f t="shared" si="31"/>
        <v>0</v>
      </c>
      <c r="H155" s="646">
        <f t="shared" si="32"/>
        <v>0</v>
      </c>
      <c r="I155" s="624">
        <f t="shared" si="33"/>
        <v>0</v>
      </c>
      <c r="J155" s="532">
        <f t="shared" si="37"/>
        <v>0</v>
      </c>
      <c r="K155" s="505"/>
      <c r="L155" s="531"/>
      <c r="M155" s="532">
        <f t="shared" si="38"/>
        <v>0</v>
      </c>
      <c r="N155" s="531"/>
      <c r="O155" s="532">
        <f t="shared" si="39"/>
        <v>0</v>
      </c>
      <c r="P155" s="532">
        <f t="shared" si="40"/>
        <v>0</v>
      </c>
    </row>
    <row r="156" spans="2:16" ht="12.5">
      <c r="C156" s="350" t="s">
        <v>75</v>
      </c>
      <c r="D156" s="295"/>
      <c r="E156" s="295">
        <f>SUM(E100:E155)</f>
        <v>8934664</v>
      </c>
      <c r="F156" s="295"/>
      <c r="G156" s="295"/>
      <c r="H156" s="295">
        <f>SUM(H100:H155)</f>
        <v>22470276.979223795</v>
      </c>
      <c r="I156" s="295">
        <f>SUM(I100:I155)</f>
        <v>22470276.979223795</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abSelected="1" topLeftCell="A85" zoomScale="80" zoomScaleNormal="8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20 of 20</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235038.97436975082</v>
      </c>
      <c r="P5" s="244"/>
    </row>
    <row r="6" spans="1:16" ht="15.5">
      <c r="C6" s="236"/>
      <c r="D6" s="293"/>
      <c r="E6" s="244"/>
      <c r="F6" s="244"/>
      <c r="G6" s="244"/>
      <c r="H6" s="450"/>
      <c r="I6" s="450"/>
      <c r="J6" s="451"/>
      <c r="K6" s="452" t="s">
        <v>243</v>
      </c>
      <c r="L6" s="453"/>
      <c r="M6" s="279"/>
      <c r="N6" s="454">
        <f>VLOOKUP(I10,C17:I73,6)</f>
        <v>235038.97436975082</v>
      </c>
      <c r="O6" s="244"/>
      <c r="P6" s="244"/>
    </row>
    <row r="7" spans="1:16" ht="13.5" thickBot="1">
      <c r="C7" s="455" t="s">
        <v>46</v>
      </c>
      <c r="D7" s="635" t="s">
        <v>291</v>
      </c>
      <c r="E7" s="244"/>
      <c r="F7" s="244"/>
      <c r="G7" s="244"/>
      <c r="H7" s="326"/>
      <c r="I7" s="326"/>
      <c r="J7" s="295"/>
      <c r="K7" s="457" t="s">
        <v>47</v>
      </c>
      <c r="L7" s="458"/>
      <c r="M7" s="458"/>
      <c r="N7" s="459">
        <f>+N6-N5</f>
        <v>0</v>
      </c>
      <c r="O7" s="244"/>
      <c r="P7" s="244"/>
    </row>
    <row r="8" spans="1:16" ht="13.5" thickBot="1">
      <c r="C8" s="460"/>
      <c r="D8" s="461"/>
      <c r="E8" s="462"/>
      <c r="F8" s="462"/>
      <c r="G8" s="462"/>
      <c r="H8" s="462"/>
      <c r="I8" s="462"/>
      <c r="J8" s="645"/>
      <c r="K8" s="462"/>
      <c r="L8" s="462"/>
      <c r="M8" s="462"/>
      <c r="N8" s="462"/>
      <c r="O8" s="645"/>
      <c r="P8" s="249"/>
    </row>
    <row r="9" spans="1:16" ht="13.5" thickBot="1">
      <c r="C9" s="464" t="s">
        <v>48</v>
      </c>
      <c r="D9" s="465" t="s">
        <v>292</v>
      </c>
      <c r="E9" s="466"/>
      <c r="F9" s="466"/>
      <c r="G9" s="466"/>
      <c r="H9" s="466"/>
      <c r="I9" s="467"/>
      <c r="J9" s="468"/>
      <c r="O9" s="469"/>
      <c r="P9" s="279"/>
    </row>
    <row r="10" spans="1:16" ht="13">
      <c r="C10" s="470" t="s">
        <v>49</v>
      </c>
      <c r="D10" s="471">
        <v>3941410</v>
      </c>
      <c r="E10" s="300" t="s">
        <v>50</v>
      </c>
      <c r="F10" s="469"/>
      <c r="G10" s="409"/>
      <c r="H10" s="409"/>
      <c r="I10" s="472">
        <f>+OKT.WS.F.BPU.ATRR.Projected!R100</f>
        <v>2020</v>
      </c>
      <c r="J10" s="468"/>
      <c r="K10" s="295" t="s">
        <v>51</v>
      </c>
      <c r="O10" s="279"/>
      <c r="P10" s="279"/>
    </row>
    <row r="11" spans="1:16" ht="12.5">
      <c r="C11" s="473" t="s">
        <v>52</v>
      </c>
      <c r="D11" s="474">
        <v>2020</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6</v>
      </c>
      <c r="E12" s="473" t="s">
        <v>55</v>
      </c>
      <c r="F12" s="409"/>
      <c r="G12" s="221"/>
      <c r="H12" s="221"/>
      <c r="I12" s="477">
        <f>OKT.WS.F.BPU.ATRR.Projected!$F$78</f>
        <v>0.1064171487591708</v>
      </c>
      <c r="J12" s="414"/>
      <c r="K12" s="145" t="s">
        <v>56</v>
      </c>
      <c r="O12" s="279"/>
      <c r="P12" s="279"/>
    </row>
    <row r="13" spans="1:16"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row>
    <row r="14" spans="1:16" ht="13" thickBot="1">
      <c r="C14" s="473" t="s">
        <v>60</v>
      </c>
      <c r="D14" s="474" t="s">
        <v>61</v>
      </c>
      <c r="E14" s="279" t="s">
        <v>62</v>
      </c>
      <c r="F14" s="409"/>
      <c r="G14" s="221"/>
      <c r="H14" s="221"/>
      <c r="I14" s="478">
        <f>IF(D10=0,0,D10/D13)</f>
        <v>115923.82352941176</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2020</v>
      </c>
      <c r="D17" s="639">
        <v>0</v>
      </c>
      <c r="E17" s="641">
        <v>51872.674102418707</v>
      </c>
      <c r="F17" s="641">
        <v>3491127.3258975814</v>
      </c>
      <c r="G17" s="641">
        <v>235038.97436975082</v>
      </c>
      <c r="H17" s="641">
        <v>235038.97436975082</v>
      </c>
      <c r="I17" s="501">
        <f t="shared" ref="I17:I71" si="1">H17-G17</f>
        <v>0</v>
      </c>
      <c r="J17" s="501"/>
      <c r="K17" s="502">
        <f>+G17</f>
        <v>235038.97436975082</v>
      </c>
      <c r="L17" s="504">
        <f t="shared" ref="L17:L71" si="2">IF(K17&lt;&gt;0,+G17-K17,0)</f>
        <v>0</v>
      </c>
      <c r="M17" s="502">
        <f>+H17</f>
        <v>235038.97436975082</v>
      </c>
      <c r="N17" s="504">
        <f t="shared" ref="N17:N71" si="3">IF(M17&lt;&gt;0,+H17-M17,0)</f>
        <v>0</v>
      </c>
      <c r="O17" s="505">
        <f t="shared" ref="O17:O71" si="4">+N17-L17</f>
        <v>0</v>
      </c>
      <c r="P17" s="279"/>
    </row>
    <row r="18" spans="2:16" ht="12.5">
      <c r="B18" s="145" t="str">
        <f t="shared" si="0"/>
        <v>IU</v>
      </c>
      <c r="C18" s="496">
        <f>IF(D11="","-",+C17+1)</f>
        <v>2021</v>
      </c>
      <c r="D18" s="509">
        <f>IF(F17+SUM(E$17:E17)=D$10,F17,D$10-SUM(E$17:E17))</f>
        <v>3889537.3258975814</v>
      </c>
      <c r="E18" s="510">
        <f>IF(+I$14&lt;F17,I$14,D18)</f>
        <v>115923.82352941176</v>
      </c>
      <c r="F18" s="511">
        <f t="shared" ref="F18:F71" si="5">+D18-E18</f>
        <v>3773613.5023681698</v>
      </c>
      <c r="G18" s="512">
        <f t="shared" ref="G18:G71" si="6">(D18+F18)/2*I$12+E18</f>
        <v>523669.15435717138</v>
      </c>
      <c r="H18" s="478">
        <f t="shared" ref="H18:H71" si="7">+(D18+F18)/2*I$13+E18</f>
        <v>523669.15435717138</v>
      </c>
      <c r="I18" s="501">
        <f t="shared" si="1"/>
        <v>0</v>
      </c>
      <c r="J18" s="501"/>
      <c r="K18" s="513"/>
      <c r="L18" s="505">
        <f t="shared" si="2"/>
        <v>0</v>
      </c>
      <c r="M18" s="513"/>
      <c r="N18" s="505">
        <f t="shared" si="3"/>
        <v>0</v>
      </c>
      <c r="O18" s="505">
        <f t="shared" si="4"/>
        <v>0</v>
      </c>
      <c r="P18" s="279"/>
    </row>
    <row r="19" spans="2:16" ht="12.5">
      <c r="B19" s="145" t="str">
        <f t="shared" si="0"/>
        <v/>
      </c>
      <c r="C19" s="496">
        <f>IF(D11="","-",+C18+1)</f>
        <v>2022</v>
      </c>
      <c r="D19" s="509">
        <f>IF(F18+SUM(E$17:E18)=D$10,F18,D$10-SUM(E$17:E18))</f>
        <v>3773613.5023681698</v>
      </c>
      <c r="E19" s="510">
        <f t="shared" ref="E19:E71" si="8">IF(+I$14&lt;F18,I$14,D19)</f>
        <v>115923.82352941176</v>
      </c>
      <c r="F19" s="511">
        <f t="shared" si="5"/>
        <v>3657689.6788387583</v>
      </c>
      <c r="G19" s="512">
        <f t="shared" si="6"/>
        <v>511332.87158391019</v>
      </c>
      <c r="H19" s="478">
        <f t="shared" si="7"/>
        <v>511332.87158391019</v>
      </c>
      <c r="I19" s="501">
        <f t="shared" si="1"/>
        <v>0</v>
      </c>
      <c r="J19" s="501"/>
      <c r="K19" s="513"/>
      <c r="L19" s="505">
        <f t="shared" si="2"/>
        <v>0</v>
      </c>
      <c r="M19" s="513"/>
      <c r="N19" s="505">
        <f t="shared" si="3"/>
        <v>0</v>
      </c>
      <c r="O19" s="505">
        <f t="shared" si="4"/>
        <v>0</v>
      </c>
      <c r="P19" s="279"/>
    </row>
    <row r="20" spans="2:16" ht="12.5">
      <c r="B20" s="145" t="str">
        <f t="shared" si="0"/>
        <v/>
      </c>
      <c r="C20" s="496">
        <f>IF(D11="","-",+C19+1)</f>
        <v>2023</v>
      </c>
      <c r="D20" s="509">
        <f>IF(F19+SUM(E$17:E19)=D$10,F19,D$10-SUM(E$17:E19))</f>
        <v>3657689.6788387583</v>
      </c>
      <c r="E20" s="510">
        <f t="shared" si="8"/>
        <v>115923.82352941176</v>
      </c>
      <c r="F20" s="511">
        <f t="shared" si="5"/>
        <v>3541765.8553093467</v>
      </c>
      <c r="G20" s="512">
        <f t="shared" si="6"/>
        <v>498996.58881064889</v>
      </c>
      <c r="H20" s="478">
        <f t="shared" si="7"/>
        <v>498996.58881064889</v>
      </c>
      <c r="I20" s="501">
        <f t="shared" si="1"/>
        <v>0</v>
      </c>
      <c r="J20" s="501"/>
      <c r="K20" s="513"/>
      <c r="L20" s="505">
        <f t="shared" si="2"/>
        <v>0</v>
      </c>
      <c r="M20" s="513"/>
      <c r="N20" s="505">
        <f t="shared" si="3"/>
        <v>0</v>
      </c>
      <c r="O20" s="505">
        <f t="shared" si="4"/>
        <v>0</v>
      </c>
      <c r="P20" s="279"/>
    </row>
    <row r="21" spans="2:16" ht="12.5">
      <c r="B21" s="145" t="str">
        <f t="shared" si="0"/>
        <v/>
      </c>
      <c r="C21" s="496">
        <f>IF(D11="","-",+C20+1)</f>
        <v>2024</v>
      </c>
      <c r="D21" s="509">
        <f>IF(F20+SUM(E$17:E20)=D$10,F20,D$10-SUM(E$17:E20))</f>
        <v>3541765.8553093467</v>
      </c>
      <c r="E21" s="510">
        <f t="shared" si="8"/>
        <v>115923.82352941176</v>
      </c>
      <c r="F21" s="511">
        <f t="shared" si="5"/>
        <v>3425842.0317799351</v>
      </c>
      <c r="G21" s="512">
        <f t="shared" si="6"/>
        <v>486660.30603738769</v>
      </c>
      <c r="H21" s="478">
        <f t="shared" si="7"/>
        <v>486660.30603738769</v>
      </c>
      <c r="I21" s="501">
        <f t="shared" si="1"/>
        <v>0</v>
      </c>
      <c r="J21" s="501"/>
      <c r="K21" s="513"/>
      <c r="L21" s="505">
        <f t="shared" si="2"/>
        <v>0</v>
      </c>
      <c r="M21" s="513"/>
      <c r="N21" s="505">
        <f t="shared" si="3"/>
        <v>0</v>
      </c>
      <c r="O21" s="505">
        <f t="shared" si="4"/>
        <v>0</v>
      </c>
      <c r="P21" s="279"/>
    </row>
    <row r="22" spans="2:16" ht="12.5">
      <c r="B22" s="145" t="str">
        <f t="shared" si="0"/>
        <v/>
      </c>
      <c r="C22" s="496">
        <f>IF(D11="","-",+C21+1)</f>
        <v>2025</v>
      </c>
      <c r="D22" s="509">
        <f>IF(F21+SUM(E$17:E21)=D$10,F21,D$10-SUM(E$17:E21))</f>
        <v>3425842.0317799351</v>
      </c>
      <c r="E22" s="510">
        <f t="shared" si="8"/>
        <v>115923.82352941176</v>
      </c>
      <c r="F22" s="511">
        <f t="shared" si="5"/>
        <v>3309918.2082505235</v>
      </c>
      <c r="G22" s="512">
        <f t="shared" si="6"/>
        <v>474324.02326412639</v>
      </c>
      <c r="H22" s="478">
        <f t="shared" si="7"/>
        <v>474324.02326412639</v>
      </c>
      <c r="I22" s="501">
        <f t="shared" si="1"/>
        <v>0</v>
      </c>
      <c r="J22" s="501"/>
      <c r="K22" s="513"/>
      <c r="L22" s="505">
        <f t="shared" si="2"/>
        <v>0</v>
      </c>
      <c r="M22" s="513"/>
      <c r="N22" s="505">
        <f t="shared" si="3"/>
        <v>0</v>
      </c>
      <c r="O22" s="505">
        <f t="shared" si="4"/>
        <v>0</v>
      </c>
      <c r="P22" s="279"/>
    </row>
    <row r="23" spans="2:16" ht="12.5">
      <c r="B23" s="145" t="str">
        <f t="shared" si="0"/>
        <v/>
      </c>
      <c r="C23" s="496">
        <f>IF(D11="","-",+C22+1)</f>
        <v>2026</v>
      </c>
      <c r="D23" s="509">
        <f>IF(F22+SUM(E$17:E22)=D$10,F22,D$10-SUM(E$17:E22))</f>
        <v>3309918.2082505235</v>
      </c>
      <c r="E23" s="510">
        <f t="shared" si="8"/>
        <v>115923.82352941176</v>
      </c>
      <c r="F23" s="511">
        <f t="shared" si="5"/>
        <v>3193994.384721112</v>
      </c>
      <c r="G23" s="512">
        <f t="shared" si="6"/>
        <v>461987.7404908652</v>
      </c>
      <c r="H23" s="478">
        <f t="shared" si="7"/>
        <v>461987.7404908652</v>
      </c>
      <c r="I23" s="501">
        <f t="shared" si="1"/>
        <v>0</v>
      </c>
      <c r="J23" s="501"/>
      <c r="K23" s="513"/>
      <c r="L23" s="505">
        <f t="shared" si="2"/>
        <v>0</v>
      </c>
      <c r="M23" s="513"/>
      <c r="N23" s="505">
        <f t="shared" si="3"/>
        <v>0</v>
      </c>
      <c r="O23" s="505">
        <f t="shared" si="4"/>
        <v>0</v>
      </c>
      <c r="P23" s="279"/>
    </row>
    <row r="24" spans="2:16" ht="12.5">
      <c r="B24" s="145" t="str">
        <f t="shared" si="0"/>
        <v/>
      </c>
      <c r="C24" s="496">
        <f>IF(D11="","-",+C23+1)</f>
        <v>2027</v>
      </c>
      <c r="D24" s="509">
        <f>IF(F23+SUM(E$17:E23)=D$10,F23,D$10-SUM(E$17:E23))</f>
        <v>3193994.384721112</v>
      </c>
      <c r="E24" s="510">
        <f t="shared" si="8"/>
        <v>115923.82352941176</v>
      </c>
      <c r="F24" s="511">
        <f t="shared" si="5"/>
        <v>3078070.5611917004</v>
      </c>
      <c r="G24" s="512">
        <f t="shared" si="6"/>
        <v>449651.45771760389</v>
      </c>
      <c r="H24" s="478">
        <f t="shared" si="7"/>
        <v>449651.45771760389</v>
      </c>
      <c r="I24" s="501">
        <f t="shared" si="1"/>
        <v>0</v>
      </c>
      <c r="J24" s="501"/>
      <c r="K24" s="513"/>
      <c r="L24" s="505">
        <f t="shared" si="2"/>
        <v>0</v>
      </c>
      <c r="M24" s="513"/>
      <c r="N24" s="505">
        <f t="shared" si="3"/>
        <v>0</v>
      </c>
      <c r="O24" s="505">
        <f t="shared" si="4"/>
        <v>0</v>
      </c>
      <c r="P24" s="279"/>
    </row>
    <row r="25" spans="2:16" ht="12.5">
      <c r="B25" s="145" t="str">
        <f t="shared" si="0"/>
        <v/>
      </c>
      <c r="C25" s="496">
        <f>IF(D11="","-",+C24+1)</f>
        <v>2028</v>
      </c>
      <c r="D25" s="509">
        <f>IF(F24+SUM(E$17:E24)=D$10,F24,D$10-SUM(E$17:E24))</f>
        <v>3078070.5611917004</v>
      </c>
      <c r="E25" s="510">
        <f t="shared" si="8"/>
        <v>115923.82352941176</v>
      </c>
      <c r="F25" s="511">
        <f t="shared" si="5"/>
        <v>2962146.7376622888</v>
      </c>
      <c r="G25" s="512">
        <f t="shared" si="6"/>
        <v>437315.1749443427</v>
      </c>
      <c r="H25" s="478">
        <f t="shared" si="7"/>
        <v>437315.1749443427</v>
      </c>
      <c r="I25" s="501">
        <f t="shared" si="1"/>
        <v>0</v>
      </c>
      <c r="J25" s="501"/>
      <c r="K25" s="513"/>
      <c r="L25" s="505">
        <f t="shared" si="2"/>
        <v>0</v>
      </c>
      <c r="M25" s="513"/>
      <c r="N25" s="505">
        <f t="shared" si="3"/>
        <v>0</v>
      </c>
      <c r="O25" s="505">
        <f t="shared" si="4"/>
        <v>0</v>
      </c>
      <c r="P25" s="279"/>
    </row>
    <row r="26" spans="2:16" ht="12.5">
      <c r="B26" s="145" t="str">
        <f t="shared" si="0"/>
        <v/>
      </c>
      <c r="C26" s="496">
        <f>IF(D11="","-",+C25+1)</f>
        <v>2029</v>
      </c>
      <c r="D26" s="509">
        <f>IF(F25+SUM(E$17:E25)=D$10,F25,D$10-SUM(E$17:E25))</f>
        <v>2962146.7376622888</v>
      </c>
      <c r="E26" s="510">
        <f t="shared" si="8"/>
        <v>115923.82352941176</v>
      </c>
      <c r="F26" s="511">
        <f t="shared" si="5"/>
        <v>2846222.9141328773</v>
      </c>
      <c r="G26" s="512">
        <f t="shared" si="6"/>
        <v>424978.89217108139</v>
      </c>
      <c r="H26" s="478">
        <f t="shared" si="7"/>
        <v>424978.89217108139</v>
      </c>
      <c r="I26" s="501">
        <f t="shared" si="1"/>
        <v>0</v>
      </c>
      <c r="J26" s="501"/>
      <c r="K26" s="513"/>
      <c r="L26" s="505">
        <f t="shared" si="2"/>
        <v>0</v>
      </c>
      <c r="M26" s="513"/>
      <c r="N26" s="505">
        <f t="shared" si="3"/>
        <v>0</v>
      </c>
      <c r="O26" s="505">
        <f t="shared" si="4"/>
        <v>0</v>
      </c>
      <c r="P26" s="279"/>
    </row>
    <row r="27" spans="2:16" ht="12.5">
      <c r="B27" s="145" t="str">
        <f t="shared" si="0"/>
        <v/>
      </c>
      <c r="C27" s="496">
        <f>IF(D11="","-",+C26+1)</f>
        <v>2030</v>
      </c>
      <c r="D27" s="509">
        <f>IF(F26+SUM(E$17:E26)=D$10,F26,D$10-SUM(E$17:E26))</f>
        <v>2846222.9141328773</v>
      </c>
      <c r="E27" s="510">
        <f t="shared" si="8"/>
        <v>115923.82352941176</v>
      </c>
      <c r="F27" s="511">
        <f t="shared" si="5"/>
        <v>2730299.0906034657</v>
      </c>
      <c r="G27" s="512">
        <f t="shared" si="6"/>
        <v>412642.60939782014</v>
      </c>
      <c r="H27" s="478">
        <f t="shared" si="7"/>
        <v>412642.60939782014</v>
      </c>
      <c r="I27" s="501">
        <f t="shared" si="1"/>
        <v>0</v>
      </c>
      <c r="J27" s="501"/>
      <c r="K27" s="513"/>
      <c r="L27" s="505">
        <f t="shared" si="2"/>
        <v>0</v>
      </c>
      <c r="M27" s="513"/>
      <c r="N27" s="505">
        <f t="shared" si="3"/>
        <v>0</v>
      </c>
      <c r="O27" s="505">
        <f t="shared" si="4"/>
        <v>0</v>
      </c>
      <c r="P27" s="279"/>
    </row>
    <row r="28" spans="2:16" ht="12.5">
      <c r="B28" s="145" t="str">
        <f t="shared" si="0"/>
        <v/>
      </c>
      <c r="C28" s="496">
        <f>IF(D11="","-",+C27+1)</f>
        <v>2031</v>
      </c>
      <c r="D28" s="509">
        <f>IF(F27+SUM(E$17:E27)=D$10,F27,D$10-SUM(E$17:E27))</f>
        <v>2730299.0906034657</v>
      </c>
      <c r="E28" s="510">
        <f t="shared" si="8"/>
        <v>115923.82352941176</v>
      </c>
      <c r="F28" s="511">
        <f t="shared" si="5"/>
        <v>2614375.2670740541</v>
      </c>
      <c r="G28" s="512">
        <f t="shared" si="6"/>
        <v>400306.32662455883</v>
      </c>
      <c r="H28" s="478">
        <f t="shared" si="7"/>
        <v>400306.32662455883</v>
      </c>
      <c r="I28" s="501">
        <f t="shared" si="1"/>
        <v>0</v>
      </c>
      <c r="J28" s="501"/>
      <c r="K28" s="513"/>
      <c r="L28" s="505">
        <f t="shared" si="2"/>
        <v>0</v>
      </c>
      <c r="M28" s="513"/>
      <c r="N28" s="505">
        <f t="shared" si="3"/>
        <v>0</v>
      </c>
      <c r="O28" s="505">
        <f t="shared" si="4"/>
        <v>0</v>
      </c>
      <c r="P28" s="279"/>
    </row>
    <row r="29" spans="2:16" ht="12.5">
      <c r="B29" s="145" t="str">
        <f t="shared" si="0"/>
        <v/>
      </c>
      <c r="C29" s="496">
        <f>IF(D11="","-",+C28+1)</f>
        <v>2032</v>
      </c>
      <c r="D29" s="509">
        <f>IF(F28+SUM(E$17:E28)=D$10,F28,D$10-SUM(E$17:E28))</f>
        <v>2614375.2670740541</v>
      </c>
      <c r="E29" s="510">
        <f t="shared" si="8"/>
        <v>115923.82352941176</v>
      </c>
      <c r="F29" s="511">
        <f t="shared" si="5"/>
        <v>2498451.4435446425</v>
      </c>
      <c r="G29" s="512">
        <f t="shared" si="6"/>
        <v>387970.04385129764</v>
      </c>
      <c r="H29" s="478">
        <f t="shared" si="7"/>
        <v>387970.04385129764</v>
      </c>
      <c r="I29" s="501">
        <f t="shared" si="1"/>
        <v>0</v>
      </c>
      <c r="J29" s="501"/>
      <c r="K29" s="513"/>
      <c r="L29" s="505">
        <f t="shared" si="2"/>
        <v>0</v>
      </c>
      <c r="M29" s="513"/>
      <c r="N29" s="505">
        <f t="shared" si="3"/>
        <v>0</v>
      </c>
      <c r="O29" s="505">
        <f t="shared" si="4"/>
        <v>0</v>
      </c>
      <c r="P29" s="279"/>
    </row>
    <row r="30" spans="2:16" ht="12.5">
      <c r="B30" s="145" t="str">
        <f t="shared" si="0"/>
        <v/>
      </c>
      <c r="C30" s="496">
        <f>IF(D11="","-",+C29+1)</f>
        <v>2033</v>
      </c>
      <c r="D30" s="509">
        <f>IF(F29+SUM(E$17:E29)=D$10,F29,D$10-SUM(E$17:E29))</f>
        <v>2498451.4435446425</v>
      </c>
      <c r="E30" s="510">
        <f t="shared" si="8"/>
        <v>115923.82352941176</v>
      </c>
      <c r="F30" s="511">
        <f t="shared" si="5"/>
        <v>2382527.620015231</v>
      </c>
      <c r="G30" s="512">
        <f t="shared" si="6"/>
        <v>375633.76107803633</v>
      </c>
      <c r="H30" s="478">
        <f t="shared" si="7"/>
        <v>375633.76107803633</v>
      </c>
      <c r="I30" s="501">
        <f t="shared" si="1"/>
        <v>0</v>
      </c>
      <c r="J30" s="501"/>
      <c r="K30" s="513"/>
      <c r="L30" s="505">
        <f t="shared" si="2"/>
        <v>0</v>
      </c>
      <c r="M30" s="513"/>
      <c r="N30" s="505">
        <f t="shared" si="3"/>
        <v>0</v>
      </c>
      <c r="O30" s="505">
        <f t="shared" si="4"/>
        <v>0</v>
      </c>
      <c r="P30" s="279"/>
    </row>
    <row r="31" spans="2:16" ht="12.5">
      <c r="B31" s="145" t="str">
        <f t="shared" si="0"/>
        <v/>
      </c>
      <c r="C31" s="496">
        <f>IF(D11="","-",+C30+1)</f>
        <v>2034</v>
      </c>
      <c r="D31" s="509">
        <f>IF(F30+SUM(E$17:E30)=D$10,F30,D$10-SUM(E$17:E30))</f>
        <v>2382527.620015231</v>
      </c>
      <c r="E31" s="510">
        <f t="shared" si="8"/>
        <v>115923.82352941176</v>
      </c>
      <c r="F31" s="511">
        <f t="shared" si="5"/>
        <v>2266603.7964858194</v>
      </c>
      <c r="G31" s="512">
        <f t="shared" si="6"/>
        <v>363297.47830477514</v>
      </c>
      <c r="H31" s="478">
        <f t="shared" si="7"/>
        <v>363297.47830477514</v>
      </c>
      <c r="I31" s="501">
        <f t="shared" si="1"/>
        <v>0</v>
      </c>
      <c r="J31" s="501"/>
      <c r="K31" s="513"/>
      <c r="L31" s="505">
        <f t="shared" si="2"/>
        <v>0</v>
      </c>
      <c r="M31" s="513"/>
      <c r="N31" s="505">
        <f t="shared" si="3"/>
        <v>0</v>
      </c>
      <c r="O31" s="505">
        <f t="shared" si="4"/>
        <v>0</v>
      </c>
      <c r="P31" s="279"/>
    </row>
    <row r="32" spans="2:16" ht="12.5">
      <c r="B32" s="145" t="str">
        <f t="shared" si="0"/>
        <v/>
      </c>
      <c r="C32" s="496">
        <f>IF(D11="","-",+C31+1)</f>
        <v>2035</v>
      </c>
      <c r="D32" s="509">
        <f>IF(F31+SUM(E$17:E31)=D$10,F31,D$10-SUM(E$17:E31))</f>
        <v>2266603.7964858194</v>
      </c>
      <c r="E32" s="510">
        <f t="shared" si="8"/>
        <v>115923.82352941176</v>
      </c>
      <c r="F32" s="511">
        <f t="shared" si="5"/>
        <v>2150679.9729564078</v>
      </c>
      <c r="G32" s="512">
        <f t="shared" si="6"/>
        <v>350961.19553151383</v>
      </c>
      <c r="H32" s="478">
        <f t="shared" si="7"/>
        <v>350961.19553151383</v>
      </c>
      <c r="I32" s="501">
        <f t="shared" si="1"/>
        <v>0</v>
      </c>
      <c r="J32" s="501"/>
      <c r="K32" s="513"/>
      <c r="L32" s="505">
        <f t="shared" si="2"/>
        <v>0</v>
      </c>
      <c r="M32" s="513"/>
      <c r="N32" s="505">
        <f t="shared" si="3"/>
        <v>0</v>
      </c>
      <c r="O32" s="505">
        <f t="shared" si="4"/>
        <v>0</v>
      </c>
      <c r="P32" s="279"/>
    </row>
    <row r="33" spans="2:16" ht="12.5">
      <c r="B33" s="145" t="str">
        <f t="shared" si="0"/>
        <v/>
      </c>
      <c r="C33" s="496">
        <f>IF(D11="","-",+C32+1)</f>
        <v>2036</v>
      </c>
      <c r="D33" s="509">
        <f>IF(F32+SUM(E$17:E32)=D$10,F32,D$10-SUM(E$17:E32))</f>
        <v>2150679.9729564078</v>
      </c>
      <c r="E33" s="510">
        <f t="shared" si="8"/>
        <v>115923.82352941176</v>
      </c>
      <c r="F33" s="511">
        <f t="shared" si="5"/>
        <v>2034756.149426996</v>
      </c>
      <c r="G33" s="512">
        <f t="shared" si="6"/>
        <v>338624.91275825258</v>
      </c>
      <c r="H33" s="478">
        <f t="shared" si="7"/>
        <v>338624.91275825258</v>
      </c>
      <c r="I33" s="501">
        <f t="shared" si="1"/>
        <v>0</v>
      </c>
      <c r="J33" s="501"/>
      <c r="K33" s="513"/>
      <c r="L33" s="505">
        <f t="shared" si="2"/>
        <v>0</v>
      </c>
      <c r="M33" s="513"/>
      <c r="N33" s="505">
        <f t="shared" si="3"/>
        <v>0</v>
      </c>
      <c r="O33" s="505">
        <f t="shared" si="4"/>
        <v>0</v>
      </c>
      <c r="P33" s="279"/>
    </row>
    <row r="34" spans="2:16" ht="12.5">
      <c r="B34" s="145" t="str">
        <f t="shared" si="0"/>
        <v/>
      </c>
      <c r="C34" s="496">
        <f>IF(D11="","-",+C33+1)</f>
        <v>2037</v>
      </c>
      <c r="D34" s="509">
        <f>IF(F33+SUM(E$17:E33)=D$10,F33,D$10-SUM(E$17:E33))</f>
        <v>2034756.149426996</v>
      </c>
      <c r="E34" s="510">
        <f t="shared" si="8"/>
        <v>115923.82352941176</v>
      </c>
      <c r="F34" s="511">
        <f t="shared" si="5"/>
        <v>1918832.3258975842</v>
      </c>
      <c r="G34" s="512">
        <f t="shared" si="6"/>
        <v>326288.62998499133</v>
      </c>
      <c r="H34" s="478">
        <f t="shared" si="7"/>
        <v>326288.62998499133</v>
      </c>
      <c r="I34" s="501">
        <f t="shared" si="1"/>
        <v>0</v>
      </c>
      <c r="J34" s="501"/>
      <c r="K34" s="513"/>
      <c r="L34" s="505">
        <f t="shared" si="2"/>
        <v>0</v>
      </c>
      <c r="M34" s="513"/>
      <c r="N34" s="505">
        <f t="shared" si="3"/>
        <v>0</v>
      </c>
      <c r="O34" s="505">
        <f t="shared" si="4"/>
        <v>0</v>
      </c>
      <c r="P34" s="279"/>
    </row>
    <row r="35" spans="2:16" ht="12.5">
      <c r="B35" s="145" t="str">
        <f t="shared" si="0"/>
        <v/>
      </c>
      <c r="C35" s="496">
        <f>IF(D11="","-",+C34+1)</f>
        <v>2038</v>
      </c>
      <c r="D35" s="509">
        <f>IF(F34+SUM(E$17:E34)=D$10,F34,D$10-SUM(E$17:E34))</f>
        <v>1918832.3258975842</v>
      </c>
      <c r="E35" s="510">
        <f t="shared" si="8"/>
        <v>115923.82352941176</v>
      </c>
      <c r="F35" s="511">
        <f t="shared" si="5"/>
        <v>1802908.5023681724</v>
      </c>
      <c r="G35" s="512">
        <f t="shared" si="6"/>
        <v>313952.34721173003</v>
      </c>
      <c r="H35" s="478">
        <f t="shared" si="7"/>
        <v>313952.34721173003</v>
      </c>
      <c r="I35" s="501">
        <f t="shared" si="1"/>
        <v>0</v>
      </c>
      <c r="J35" s="501"/>
      <c r="K35" s="513"/>
      <c r="L35" s="505">
        <f t="shared" si="2"/>
        <v>0</v>
      </c>
      <c r="M35" s="513"/>
      <c r="N35" s="505">
        <f t="shared" si="3"/>
        <v>0</v>
      </c>
      <c r="O35" s="505">
        <f t="shared" si="4"/>
        <v>0</v>
      </c>
      <c r="P35" s="279"/>
    </row>
    <row r="36" spans="2:16" ht="12.5">
      <c r="B36" s="145" t="str">
        <f t="shared" si="0"/>
        <v/>
      </c>
      <c r="C36" s="496">
        <f>IF(D11="","-",+C35+1)</f>
        <v>2039</v>
      </c>
      <c r="D36" s="509">
        <f>IF(F35+SUM(E$17:E35)=D$10,F35,D$10-SUM(E$17:E35))</f>
        <v>1802908.5023681724</v>
      </c>
      <c r="E36" s="510">
        <f t="shared" si="8"/>
        <v>115923.82352941176</v>
      </c>
      <c r="F36" s="511">
        <f t="shared" si="5"/>
        <v>1686984.6788387606</v>
      </c>
      <c r="G36" s="512">
        <f t="shared" si="6"/>
        <v>301616.06443846878</v>
      </c>
      <c r="H36" s="478">
        <f t="shared" si="7"/>
        <v>301616.06443846878</v>
      </c>
      <c r="I36" s="501">
        <f t="shared" si="1"/>
        <v>0</v>
      </c>
      <c r="J36" s="501"/>
      <c r="K36" s="513"/>
      <c r="L36" s="505">
        <f t="shared" si="2"/>
        <v>0</v>
      </c>
      <c r="M36" s="513"/>
      <c r="N36" s="505">
        <f t="shared" si="3"/>
        <v>0</v>
      </c>
      <c r="O36" s="505">
        <f t="shared" si="4"/>
        <v>0</v>
      </c>
      <c r="P36" s="279"/>
    </row>
    <row r="37" spans="2:16" ht="12.5">
      <c r="B37" s="145" t="str">
        <f t="shared" si="0"/>
        <v/>
      </c>
      <c r="C37" s="496">
        <f>IF(D11="","-",+C36+1)</f>
        <v>2040</v>
      </c>
      <c r="D37" s="509">
        <f>IF(F36+SUM(E$17:E36)=D$10,F36,D$10-SUM(E$17:E36))</f>
        <v>1686984.6788387606</v>
      </c>
      <c r="E37" s="510">
        <f t="shared" si="8"/>
        <v>115923.82352941176</v>
      </c>
      <c r="F37" s="511">
        <f t="shared" si="5"/>
        <v>1571060.8553093488</v>
      </c>
      <c r="G37" s="512">
        <f t="shared" si="6"/>
        <v>289279.78166520747</v>
      </c>
      <c r="H37" s="478">
        <f t="shared" si="7"/>
        <v>289279.78166520747</v>
      </c>
      <c r="I37" s="501">
        <f t="shared" si="1"/>
        <v>0</v>
      </c>
      <c r="J37" s="501"/>
      <c r="K37" s="513"/>
      <c r="L37" s="505">
        <f t="shared" si="2"/>
        <v>0</v>
      </c>
      <c r="M37" s="513"/>
      <c r="N37" s="505">
        <f t="shared" si="3"/>
        <v>0</v>
      </c>
      <c r="O37" s="505">
        <f t="shared" si="4"/>
        <v>0</v>
      </c>
      <c r="P37" s="279"/>
    </row>
    <row r="38" spans="2:16" ht="12.5">
      <c r="B38" s="145" t="str">
        <f t="shared" si="0"/>
        <v/>
      </c>
      <c r="C38" s="496">
        <f>IF(D11="","-",+C37+1)</f>
        <v>2041</v>
      </c>
      <c r="D38" s="509">
        <f>IF(F37+SUM(E$17:E37)=D$10,F37,D$10-SUM(E$17:E37))</f>
        <v>1571060.8553093488</v>
      </c>
      <c r="E38" s="510">
        <f t="shared" si="8"/>
        <v>115923.82352941176</v>
      </c>
      <c r="F38" s="511">
        <f t="shared" si="5"/>
        <v>1455137.031779937</v>
      </c>
      <c r="G38" s="512">
        <f t="shared" si="6"/>
        <v>276943.49889194622</v>
      </c>
      <c r="H38" s="478">
        <f t="shared" si="7"/>
        <v>276943.49889194622</v>
      </c>
      <c r="I38" s="501">
        <f t="shared" si="1"/>
        <v>0</v>
      </c>
      <c r="J38" s="501"/>
      <c r="K38" s="513"/>
      <c r="L38" s="505">
        <f t="shared" si="2"/>
        <v>0</v>
      </c>
      <c r="M38" s="513"/>
      <c r="N38" s="505">
        <f t="shared" si="3"/>
        <v>0</v>
      </c>
      <c r="O38" s="505">
        <f t="shared" si="4"/>
        <v>0</v>
      </c>
      <c r="P38" s="279"/>
    </row>
    <row r="39" spans="2:16" ht="12.5">
      <c r="B39" s="145" t="str">
        <f t="shared" si="0"/>
        <v/>
      </c>
      <c r="C39" s="496">
        <f>IF(D11="","-",+C38+1)</f>
        <v>2042</v>
      </c>
      <c r="D39" s="509">
        <f>IF(F38+SUM(E$17:E38)=D$10,F38,D$10-SUM(E$17:E38))</f>
        <v>1455137.031779937</v>
      </c>
      <c r="E39" s="510">
        <f t="shared" si="8"/>
        <v>115923.82352941176</v>
      </c>
      <c r="F39" s="511">
        <f t="shared" si="5"/>
        <v>1339213.2082505252</v>
      </c>
      <c r="G39" s="512">
        <f t="shared" si="6"/>
        <v>264607.21611868491</v>
      </c>
      <c r="H39" s="478">
        <f t="shared" si="7"/>
        <v>264607.21611868491</v>
      </c>
      <c r="I39" s="501">
        <f t="shared" si="1"/>
        <v>0</v>
      </c>
      <c r="J39" s="501"/>
      <c r="K39" s="513"/>
      <c r="L39" s="505">
        <f t="shared" si="2"/>
        <v>0</v>
      </c>
      <c r="M39" s="513"/>
      <c r="N39" s="505">
        <f t="shared" si="3"/>
        <v>0</v>
      </c>
      <c r="O39" s="505">
        <f t="shared" si="4"/>
        <v>0</v>
      </c>
      <c r="P39" s="279"/>
    </row>
    <row r="40" spans="2:16" ht="12.5">
      <c r="B40" s="145" t="str">
        <f t="shared" si="0"/>
        <v/>
      </c>
      <c r="C40" s="496">
        <f>IF(D11="","-",+C39+1)</f>
        <v>2043</v>
      </c>
      <c r="D40" s="509">
        <f>IF(F39+SUM(E$17:E39)=D$10,F39,D$10-SUM(E$17:E39))</f>
        <v>1339213.2082505252</v>
      </c>
      <c r="E40" s="510">
        <f t="shared" si="8"/>
        <v>115923.82352941176</v>
      </c>
      <c r="F40" s="511">
        <f t="shared" si="5"/>
        <v>1223289.3847211134</v>
      </c>
      <c r="G40" s="512">
        <f t="shared" si="6"/>
        <v>252270.93334542366</v>
      </c>
      <c r="H40" s="478">
        <f t="shared" si="7"/>
        <v>252270.93334542366</v>
      </c>
      <c r="I40" s="501">
        <f t="shared" si="1"/>
        <v>0</v>
      </c>
      <c r="J40" s="501"/>
      <c r="K40" s="513"/>
      <c r="L40" s="505">
        <f t="shared" si="2"/>
        <v>0</v>
      </c>
      <c r="M40" s="513"/>
      <c r="N40" s="505">
        <f t="shared" si="3"/>
        <v>0</v>
      </c>
      <c r="O40" s="505">
        <f t="shared" si="4"/>
        <v>0</v>
      </c>
      <c r="P40" s="279"/>
    </row>
    <row r="41" spans="2:16" ht="12.5">
      <c r="B41" s="145" t="str">
        <f t="shared" si="0"/>
        <v/>
      </c>
      <c r="C41" s="496">
        <f>IF(D11="","-",+C40+1)</f>
        <v>2044</v>
      </c>
      <c r="D41" s="509">
        <f>IF(F40+SUM(E$17:E40)=D$10,F40,D$10-SUM(E$17:E40))</f>
        <v>1223289.3847211134</v>
      </c>
      <c r="E41" s="510">
        <f t="shared" si="8"/>
        <v>115923.82352941176</v>
      </c>
      <c r="F41" s="511">
        <f t="shared" si="5"/>
        <v>1107365.5611917016</v>
      </c>
      <c r="G41" s="512">
        <f t="shared" si="6"/>
        <v>239934.65057216235</v>
      </c>
      <c r="H41" s="478">
        <f t="shared" si="7"/>
        <v>239934.65057216235</v>
      </c>
      <c r="I41" s="501">
        <f t="shared" si="1"/>
        <v>0</v>
      </c>
      <c r="J41" s="501"/>
      <c r="K41" s="513"/>
      <c r="L41" s="505">
        <f t="shared" si="2"/>
        <v>0</v>
      </c>
      <c r="M41" s="513"/>
      <c r="N41" s="505">
        <f t="shared" si="3"/>
        <v>0</v>
      </c>
      <c r="O41" s="505">
        <f t="shared" si="4"/>
        <v>0</v>
      </c>
      <c r="P41" s="279"/>
    </row>
    <row r="42" spans="2:16" ht="12.5">
      <c r="B42" s="145" t="str">
        <f t="shared" si="0"/>
        <v/>
      </c>
      <c r="C42" s="496">
        <f>IF(D11="","-",+C41+1)</f>
        <v>2045</v>
      </c>
      <c r="D42" s="509">
        <f>IF(F41+SUM(E$17:E41)=D$10,F41,D$10-SUM(E$17:E41))</f>
        <v>1107365.5611917016</v>
      </c>
      <c r="E42" s="510">
        <f t="shared" si="8"/>
        <v>115923.82352941176</v>
      </c>
      <c r="F42" s="511">
        <f t="shared" si="5"/>
        <v>991441.73766228976</v>
      </c>
      <c r="G42" s="512">
        <f t="shared" si="6"/>
        <v>227598.3677989011</v>
      </c>
      <c r="H42" s="478">
        <f t="shared" si="7"/>
        <v>227598.3677989011</v>
      </c>
      <c r="I42" s="501">
        <f t="shared" si="1"/>
        <v>0</v>
      </c>
      <c r="J42" s="501"/>
      <c r="K42" s="513"/>
      <c r="L42" s="505">
        <f t="shared" si="2"/>
        <v>0</v>
      </c>
      <c r="M42" s="513"/>
      <c r="N42" s="505">
        <f t="shared" si="3"/>
        <v>0</v>
      </c>
      <c r="O42" s="505">
        <f t="shared" si="4"/>
        <v>0</v>
      </c>
      <c r="P42" s="279"/>
    </row>
    <row r="43" spans="2:16" ht="12.5">
      <c r="B43" s="145" t="str">
        <f t="shared" si="0"/>
        <v/>
      </c>
      <c r="C43" s="496">
        <f>IF(D11="","-",+C42+1)</f>
        <v>2046</v>
      </c>
      <c r="D43" s="509">
        <f>IF(F42+SUM(E$17:E42)=D$10,F42,D$10-SUM(E$17:E42))</f>
        <v>991441.73766228976</v>
      </c>
      <c r="E43" s="510">
        <f t="shared" si="8"/>
        <v>115923.82352941176</v>
      </c>
      <c r="F43" s="511">
        <f t="shared" si="5"/>
        <v>875517.91413287795</v>
      </c>
      <c r="G43" s="512">
        <f t="shared" si="6"/>
        <v>215262.0850256398</v>
      </c>
      <c r="H43" s="478">
        <f t="shared" si="7"/>
        <v>215262.0850256398</v>
      </c>
      <c r="I43" s="501">
        <f t="shared" si="1"/>
        <v>0</v>
      </c>
      <c r="J43" s="501"/>
      <c r="K43" s="513"/>
      <c r="L43" s="505">
        <f t="shared" si="2"/>
        <v>0</v>
      </c>
      <c r="M43" s="513"/>
      <c r="N43" s="505">
        <f t="shared" si="3"/>
        <v>0</v>
      </c>
      <c r="O43" s="505">
        <f t="shared" si="4"/>
        <v>0</v>
      </c>
      <c r="P43" s="279"/>
    </row>
    <row r="44" spans="2:16" ht="12.5">
      <c r="B44" s="145" t="str">
        <f t="shared" si="0"/>
        <v/>
      </c>
      <c r="C44" s="496">
        <f>IF(D11="","-",+C43+1)</f>
        <v>2047</v>
      </c>
      <c r="D44" s="509">
        <f>IF(F43+SUM(E$17:E43)=D$10,F43,D$10-SUM(E$17:E43))</f>
        <v>875517.91413287795</v>
      </c>
      <c r="E44" s="510">
        <f t="shared" si="8"/>
        <v>115923.82352941176</v>
      </c>
      <c r="F44" s="511">
        <f t="shared" si="5"/>
        <v>759594.09060346615</v>
      </c>
      <c r="G44" s="512">
        <f t="shared" si="6"/>
        <v>202925.80225237852</v>
      </c>
      <c r="H44" s="478">
        <f t="shared" si="7"/>
        <v>202925.80225237852</v>
      </c>
      <c r="I44" s="501">
        <f t="shared" si="1"/>
        <v>0</v>
      </c>
      <c r="J44" s="501"/>
      <c r="K44" s="513"/>
      <c r="L44" s="505">
        <f t="shared" si="2"/>
        <v>0</v>
      </c>
      <c r="M44" s="513"/>
      <c r="N44" s="505">
        <f t="shared" si="3"/>
        <v>0</v>
      </c>
      <c r="O44" s="505">
        <f t="shared" si="4"/>
        <v>0</v>
      </c>
      <c r="P44" s="279"/>
    </row>
    <row r="45" spans="2:16" ht="12.5">
      <c r="B45" s="145" t="str">
        <f t="shared" si="0"/>
        <v/>
      </c>
      <c r="C45" s="496">
        <f>IF(D11="","-",+C44+1)</f>
        <v>2048</v>
      </c>
      <c r="D45" s="509">
        <f>IF(F44+SUM(E$17:E44)=D$10,F44,D$10-SUM(E$17:E44))</f>
        <v>759594.09060346615</v>
      </c>
      <c r="E45" s="510">
        <f t="shared" si="8"/>
        <v>115923.82352941176</v>
      </c>
      <c r="F45" s="511">
        <f t="shared" si="5"/>
        <v>643670.26707405434</v>
      </c>
      <c r="G45" s="512">
        <f t="shared" si="6"/>
        <v>190589.51947911724</v>
      </c>
      <c r="H45" s="478">
        <f t="shared" si="7"/>
        <v>190589.51947911724</v>
      </c>
      <c r="I45" s="501">
        <f t="shared" si="1"/>
        <v>0</v>
      </c>
      <c r="J45" s="501"/>
      <c r="K45" s="513"/>
      <c r="L45" s="505">
        <f t="shared" si="2"/>
        <v>0</v>
      </c>
      <c r="M45" s="513"/>
      <c r="N45" s="505">
        <f t="shared" si="3"/>
        <v>0</v>
      </c>
      <c r="O45" s="505">
        <f t="shared" si="4"/>
        <v>0</v>
      </c>
      <c r="P45" s="279"/>
    </row>
    <row r="46" spans="2:16" ht="12.5">
      <c r="B46" s="145" t="str">
        <f t="shared" si="0"/>
        <v/>
      </c>
      <c r="C46" s="496">
        <f>IF(D11="","-",+C45+1)</f>
        <v>2049</v>
      </c>
      <c r="D46" s="509">
        <f>IF(F45+SUM(E$17:E45)=D$10,F45,D$10-SUM(E$17:E45))</f>
        <v>643670.26707405434</v>
      </c>
      <c r="E46" s="510">
        <f t="shared" si="8"/>
        <v>115923.82352941176</v>
      </c>
      <c r="F46" s="511">
        <f t="shared" si="5"/>
        <v>527746.44354464253</v>
      </c>
      <c r="G46" s="512">
        <f t="shared" si="6"/>
        <v>178253.23670585596</v>
      </c>
      <c r="H46" s="478">
        <f t="shared" si="7"/>
        <v>178253.23670585596</v>
      </c>
      <c r="I46" s="501">
        <f t="shared" si="1"/>
        <v>0</v>
      </c>
      <c r="J46" s="501"/>
      <c r="K46" s="513"/>
      <c r="L46" s="505">
        <f t="shared" si="2"/>
        <v>0</v>
      </c>
      <c r="M46" s="513"/>
      <c r="N46" s="505">
        <f t="shared" si="3"/>
        <v>0</v>
      </c>
      <c r="O46" s="505">
        <f t="shared" si="4"/>
        <v>0</v>
      </c>
      <c r="P46" s="279"/>
    </row>
    <row r="47" spans="2:16" ht="12.5">
      <c r="B47" s="145" t="str">
        <f t="shared" si="0"/>
        <v/>
      </c>
      <c r="C47" s="496">
        <f>IF(D11="","-",+C46+1)</f>
        <v>2050</v>
      </c>
      <c r="D47" s="509">
        <f>IF(F46+SUM(E$17:E46)=D$10,F46,D$10-SUM(E$17:E46))</f>
        <v>527746.44354464253</v>
      </c>
      <c r="E47" s="510">
        <f t="shared" si="8"/>
        <v>115923.82352941176</v>
      </c>
      <c r="F47" s="511">
        <f t="shared" si="5"/>
        <v>411822.62001523079</v>
      </c>
      <c r="G47" s="512">
        <f t="shared" si="6"/>
        <v>165916.95393259468</v>
      </c>
      <c r="H47" s="478">
        <f t="shared" si="7"/>
        <v>165916.95393259468</v>
      </c>
      <c r="I47" s="501">
        <f t="shared" si="1"/>
        <v>0</v>
      </c>
      <c r="J47" s="501"/>
      <c r="K47" s="513"/>
      <c r="L47" s="505">
        <f t="shared" si="2"/>
        <v>0</v>
      </c>
      <c r="M47" s="513"/>
      <c r="N47" s="505">
        <f t="shared" si="3"/>
        <v>0</v>
      </c>
      <c r="O47" s="505">
        <f t="shared" si="4"/>
        <v>0</v>
      </c>
      <c r="P47" s="279"/>
    </row>
    <row r="48" spans="2:16" ht="12.5">
      <c r="B48" s="145" t="str">
        <f t="shared" si="0"/>
        <v/>
      </c>
      <c r="C48" s="496">
        <f>IF(D11="","-",+C47+1)</f>
        <v>2051</v>
      </c>
      <c r="D48" s="509">
        <f>IF(F47+SUM(E$17:E47)=D$10,F47,D$10-SUM(E$17:E47))</f>
        <v>411822.62001523079</v>
      </c>
      <c r="E48" s="510">
        <f t="shared" si="8"/>
        <v>115923.82352941176</v>
      </c>
      <c r="F48" s="511">
        <f t="shared" si="5"/>
        <v>295898.79648581904</v>
      </c>
      <c r="G48" s="512">
        <f t="shared" si="6"/>
        <v>153580.6711593334</v>
      </c>
      <c r="H48" s="478">
        <f t="shared" si="7"/>
        <v>153580.6711593334</v>
      </c>
      <c r="I48" s="501">
        <f t="shared" si="1"/>
        <v>0</v>
      </c>
      <c r="J48" s="501"/>
      <c r="K48" s="513"/>
      <c r="L48" s="505">
        <f t="shared" si="2"/>
        <v>0</v>
      </c>
      <c r="M48" s="513"/>
      <c r="N48" s="505">
        <f t="shared" si="3"/>
        <v>0</v>
      </c>
      <c r="O48" s="505">
        <f t="shared" si="4"/>
        <v>0</v>
      </c>
      <c r="P48" s="279"/>
    </row>
    <row r="49" spans="2:16" ht="12.5">
      <c r="B49" s="145" t="str">
        <f t="shared" si="0"/>
        <v/>
      </c>
      <c r="C49" s="496">
        <f>IF(D11="","-",+C48+1)</f>
        <v>2052</v>
      </c>
      <c r="D49" s="509">
        <f>IF(F48+SUM(E$17:E48)=D$10,F48,D$10-SUM(E$17:E48))</f>
        <v>295898.79648581904</v>
      </c>
      <c r="E49" s="510">
        <f t="shared" si="8"/>
        <v>115923.82352941176</v>
      </c>
      <c r="F49" s="511">
        <f t="shared" si="5"/>
        <v>179974.97295640729</v>
      </c>
      <c r="G49" s="512">
        <f t="shared" si="6"/>
        <v>141244.38838607213</v>
      </c>
      <c r="H49" s="478">
        <f t="shared" si="7"/>
        <v>141244.38838607213</v>
      </c>
      <c r="I49" s="501">
        <f t="shared" si="1"/>
        <v>0</v>
      </c>
      <c r="J49" s="501"/>
      <c r="K49" s="513"/>
      <c r="L49" s="505">
        <f t="shared" si="2"/>
        <v>0</v>
      </c>
      <c r="M49" s="513"/>
      <c r="N49" s="505">
        <f t="shared" si="3"/>
        <v>0</v>
      </c>
      <c r="O49" s="505">
        <f t="shared" si="4"/>
        <v>0</v>
      </c>
      <c r="P49" s="279"/>
    </row>
    <row r="50" spans="2:16" ht="12.5">
      <c r="B50" s="145" t="str">
        <f t="shared" si="0"/>
        <v/>
      </c>
      <c r="C50" s="496">
        <f>IF(D11="","-",+C49+1)</f>
        <v>2053</v>
      </c>
      <c r="D50" s="509">
        <f>IF(F49+SUM(E$17:E49)=D$10,F49,D$10-SUM(E$17:E49))</f>
        <v>179974.97295640729</v>
      </c>
      <c r="E50" s="510">
        <f t="shared" si="8"/>
        <v>115923.82352941176</v>
      </c>
      <c r="F50" s="511">
        <f t="shared" si="5"/>
        <v>64051.149426995529</v>
      </c>
      <c r="G50" s="512">
        <f t="shared" si="6"/>
        <v>128908.10561281086</v>
      </c>
      <c r="H50" s="478">
        <f t="shared" si="7"/>
        <v>128908.10561281086</v>
      </c>
      <c r="I50" s="501">
        <f t="shared" si="1"/>
        <v>0</v>
      </c>
      <c r="J50" s="501"/>
      <c r="K50" s="513"/>
      <c r="L50" s="505">
        <f t="shared" si="2"/>
        <v>0</v>
      </c>
      <c r="M50" s="513"/>
      <c r="N50" s="505">
        <f t="shared" si="3"/>
        <v>0</v>
      </c>
      <c r="O50" s="505">
        <f t="shared" si="4"/>
        <v>0</v>
      </c>
      <c r="P50" s="279"/>
    </row>
    <row r="51" spans="2:16" ht="12.5">
      <c r="B51" s="145" t="str">
        <f t="shared" si="0"/>
        <v/>
      </c>
      <c r="C51" s="496">
        <f>IF(D11="","-",+C50+1)</f>
        <v>2054</v>
      </c>
      <c r="D51" s="509">
        <f>IF(F50+SUM(E$17:E50)=D$10,F50,D$10-SUM(E$17:E50))</f>
        <v>64051.149426995529</v>
      </c>
      <c r="E51" s="510">
        <f t="shared" si="8"/>
        <v>64051.149426995529</v>
      </c>
      <c r="F51" s="511">
        <f t="shared" si="5"/>
        <v>0</v>
      </c>
      <c r="G51" s="512">
        <f t="shared" si="6"/>
        <v>67459.219775379766</v>
      </c>
      <c r="H51" s="478">
        <f t="shared" si="7"/>
        <v>67459.219775379766</v>
      </c>
      <c r="I51" s="501">
        <f t="shared" si="1"/>
        <v>0</v>
      </c>
      <c r="J51" s="501"/>
      <c r="K51" s="513"/>
      <c r="L51" s="505">
        <f t="shared" si="2"/>
        <v>0</v>
      </c>
      <c r="M51" s="513"/>
      <c r="N51" s="505">
        <f t="shared" si="3"/>
        <v>0</v>
      </c>
      <c r="O51" s="505">
        <f t="shared" si="4"/>
        <v>0</v>
      </c>
      <c r="P51" s="279"/>
    </row>
    <row r="52" spans="2:16" ht="12.5">
      <c r="B52" s="145" t="str">
        <f t="shared" si="0"/>
        <v/>
      </c>
      <c r="C52" s="496">
        <f>IF(D11="","-",+C51+1)</f>
        <v>2055</v>
      </c>
      <c r="D52" s="509">
        <f>IF(F51+SUM(E$17:E51)=D$10,F51,D$10-SUM(E$17:E51))</f>
        <v>0</v>
      </c>
      <c r="E52" s="510">
        <f t="shared" si="8"/>
        <v>0</v>
      </c>
      <c r="F52" s="511">
        <f t="shared" si="5"/>
        <v>0</v>
      </c>
      <c r="G52" s="512">
        <f t="shared" si="6"/>
        <v>0</v>
      </c>
      <c r="H52" s="478">
        <f t="shared" si="7"/>
        <v>0</v>
      </c>
      <c r="I52" s="501">
        <f t="shared" si="1"/>
        <v>0</v>
      </c>
      <c r="J52" s="501"/>
      <c r="K52" s="513"/>
      <c r="L52" s="505">
        <f t="shared" si="2"/>
        <v>0</v>
      </c>
      <c r="M52" s="513"/>
      <c r="N52" s="505">
        <f t="shared" si="3"/>
        <v>0</v>
      </c>
      <c r="O52" s="505">
        <f t="shared" si="4"/>
        <v>0</v>
      </c>
      <c r="P52" s="279"/>
    </row>
    <row r="53" spans="2:16" ht="12.5">
      <c r="B53" s="145" t="str">
        <f t="shared" si="0"/>
        <v/>
      </c>
      <c r="C53" s="496">
        <f>IF(D11="","-",+C52+1)</f>
        <v>2056</v>
      </c>
      <c r="D53" s="509">
        <f>IF(F52+SUM(E$17:E52)=D$10,F52,D$10-SUM(E$17:E52))</f>
        <v>0</v>
      </c>
      <c r="E53" s="510">
        <f t="shared" si="8"/>
        <v>0</v>
      </c>
      <c r="F53" s="511">
        <f t="shared" si="5"/>
        <v>0</v>
      </c>
      <c r="G53" s="512">
        <f t="shared" si="6"/>
        <v>0</v>
      </c>
      <c r="H53" s="478">
        <f t="shared" si="7"/>
        <v>0</v>
      </c>
      <c r="I53" s="501">
        <f t="shared" si="1"/>
        <v>0</v>
      </c>
      <c r="J53" s="501"/>
      <c r="K53" s="513"/>
      <c r="L53" s="505">
        <f t="shared" si="2"/>
        <v>0</v>
      </c>
      <c r="M53" s="513"/>
      <c r="N53" s="505">
        <f t="shared" si="3"/>
        <v>0</v>
      </c>
      <c r="O53" s="505">
        <f t="shared" si="4"/>
        <v>0</v>
      </c>
      <c r="P53" s="279"/>
    </row>
    <row r="54" spans="2:16" ht="12.5">
      <c r="B54" s="145" t="str">
        <f t="shared" si="0"/>
        <v/>
      </c>
      <c r="C54" s="496">
        <f>IF(D11="","-",+C53+1)</f>
        <v>2057</v>
      </c>
      <c r="D54" s="509">
        <f>IF(F53+SUM(E$17:E53)=D$10,F53,D$10-SUM(E$17:E53))</f>
        <v>0</v>
      </c>
      <c r="E54" s="510">
        <f t="shared" si="8"/>
        <v>0</v>
      </c>
      <c r="F54" s="511">
        <f t="shared" si="5"/>
        <v>0</v>
      </c>
      <c r="G54" s="512">
        <f t="shared" si="6"/>
        <v>0</v>
      </c>
      <c r="H54" s="478">
        <f t="shared" si="7"/>
        <v>0</v>
      </c>
      <c r="I54" s="501">
        <f t="shared" si="1"/>
        <v>0</v>
      </c>
      <c r="J54" s="501"/>
      <c r="K54" s="513"/>
      <c r="L54" s="505">
        <f t="shared" si="2"/>
        <v>0</v>
      </c>
      <c r="M54" s="513"/>
      <c r="N54" s="505">
        <f t="shared" si="3"/>
        <v>0</v>
      </c>
      <c r="O54" s="505">
        <f t="shared" si="4"/>
        <v>0</v>
      </c>
      <c r="P54" s="279"/>
    </row>
    <row r="55" spans="2:16" ht="12.5">
      <c r="B55" s="145" t="str">
        <f t="shared" si="0"/>
        <v/>
      </c>
      <c r="C55" s="496">
        <f>IF(D11="","-",+C54+1)</f>
        <v>2058</v>
      </c>
      <c r="D55" s="509">
        <f>IF(F54+SUM(E$17:E54)=D$10,F54,D$10-SUM(E$17:E54))</f>
        <v>0</v>
      </c>
      <c r="E55" s="510">
        <f t="shared" si="8"/>
        <v>0</v>
      </c>
      <c r="F55" s="511">
        <f t="shared" si="5"/>
        <v>0</v>
      </c>
      <c r="G55" s="512">
        <f t="shared" si="6"/>
        <v>0</v>
      </c>
      <c r="H55" s="478">
        <f t="shared" si="7"/>
        <v>0</v>
      </c>
      <c r="I55" s="501">
        <f t="shared" si="1"/>
        <v>0</v>
      </c>
      <c r="J55" s="501"/>
      <c r="K55" s="513"/>
      <c r="L55" s="505">
        <f t="shared" si="2"/>
        <v>0</v>
      </c>
      <c r="M55" s="513"/>
      <c r="N55" s="505">
        <f t="shared" si="3"/>
        <v>0</v>
      </c>
      <c r="O55" s="505">
        <f t="shared" si="4"/>
        <v>0</v>
      </c>
      <c r="P55" s="279"/>
    </row>
    <row r="56" spans="2:16" ht="12.5">
      <c r="B56" s="145" t="str">
        <f t="shared" si="0"/>
        <v/>
      </c>
      <c r="C56" s="496">
        <f>IF(D11="","-",+C55+1)</f>
        <v>2059</v>
      </c>
      <c r="D56" s="509">
        <f>IF(F55+SUM(E$17:E55)=D$10,F55,D$10-SUM(E$17:E55))</f>
        <v>0</v>
      </c>
      <c r="E56" s="510">
        <f t="shared" si="8"/>
        <v>0</v>
      </c>
      <c r="F56" s="511">
        <f t="shared" si="5"/>
        <v>0</v>
      </c>
      <c r="G56" s="512">
        <f t="shared" si="6"/>
        <v>0</v>
      </c>
      <c r="H56" s="478">
        <f t="shared" si="7"/>
        <v>0</v>
      </c>
      <c r="I56" s="501">
        <f t="shared" si="1"/>
        <v>0</v>
      </c>
      <c r="J56" s="501"/>
      <c r="K56" s="513"/>
      <c r="L56" s="505">
        <f t="shared" si="2"/>
        <v>0</v>
      </c>
      <c r="M56" s="513"/>
      <c r="N56" s="505">
        <f t="shared" si="3"/>
        <v>0</v>
      </c>
      <c r="O56" s="505">
        <f t="shared" si="4"/>
        <v>0</v>
      </c>
      <c r="P56" s="279"/>
    </row>
    <row r="57" spans="2:16" ht="12.5">
      <c r="B57" s="145" t="str">
        <f t="shared" si="0"/>
        <v/>
      </c>
      <c r="C57" s="496">
        <f>IF(D11="","-",+C56+1)</f>
        <v>2060</v>
      </c>
      <c r="D57" s="509">
        <f>IF(F56+SUM(E$17:E56)=D$10,F56,D$10-SUM(E$17:E56))</f>
        <v>0</v>
      </c>
      <c r="E57" s="510">
        <f t="shared" si="8"/>
        <v>0</v>
      </c>
      <c r="F57" s="511">
        <f t="shared" si="5"/>
        <v>0</v>
      </c>
      <c r="G57" s="512">
        <f t="shared" si="6"/>
        <v>0</v>
      </c>
      <c r="H57" s="478">
        <f t="shared" si="7"/>
        <v>0</v>
      </c>
      <c r="I57" s="501">
        <f t="shared" si="1"/>
        <v>0</v>
      </c>
      <c r="J57" s="501"/>
      <c r="K57" s="513"/>
      <c r="L57" s="505">
        <f t="shared" si="2"/>
        <v>0</v>
      </c>
      <c r="M57" s="513"/>
      <c r="N57" s="505">
        <f t="shared" si="3"/>
        <v>0</v>
      </c>
      <c r="O57" s="505">
        <f t="shared" si="4"/>
        <v>0</v>
      </c>
      <c r="P57" s="279"/>
    </row>
    <row r="58" spans="2:16" ht="12.5">
      <c r="B58" s="145" t="str">
        <f t="shared" si="0"/>
        <v/>
      </c>
      <c r="C58" s="496">
        <f>IF(D11="","-",+C57+1)</f>
        <v>2061</v>
      </c>
      <c r="D58" s="509">
        <f>IF(F57+SUM(E$17:E57)=D$10,F57,D$10-SUM(E$17:E57))</f>
        <v>0</v>
      </c>
      <c r="E58" s="510">
        <f t="shared" si="8"/>
        <v>0</v>
      </c>
      <c r="F58" s="511">
        <f t="shared" si="5"/>
        <v>0</v>
      </c>
      <c r="G58" s="512">
        <f t="shared" si="6"/>
        <v>0</v>
      </c>
      <c r="H58" s="478">
        <f t="shared" si="7"/>
        <v>0</v>
      </c>
      <c r="I58" s="501">
        <f t="shared" si="1"/>
        <v>0</v>
      </c>
      <c r="J58" s="501"/>
      <c r="K58" s="513"/>
      <c r="L58" s="505">
        <f t="shared" si="2"/>
        <v>0</v>
      </c>
      <c r="M58" s="513"/>
      <c r="N58" s="505">
        <f t="shared" si="3"/>
        <v>0</v>
      </c>
      <c r="O58" s="505">
        <f t="shared" si="4"/>
        <v>0</v>
      </c>
      <c r="P58" s="279"/>
    </row>
    <row r="59" spans="2:16" ht="12.5">
      <c r="B59" s="145" t="str">
        <f t="shared" si="0"/>
        <v/>
      </c>
      <c r="C59" s="496">
        <f>IF(D11="","-",+C58+1)</f>
        <v>2062</v>
      </c>
      <c r="D59" s="509">
        <f>IF(F58+SUM(E$17:E58)=D$10,F58,D$10-SUM(E$17:E58))</f>
        <v>0</v>
      </c>
      <c r="E59" s="510">
        <f t="shared" si="8"/>
        <v>0</v>
      </c>
      <c r="F59" s="511">
        <f t="shared" si="5"/>
        <v>0</v>
      </c>
      <c r="G59" s="512">
        <f t="shared" si="6"/>
        <v>0</v>
      </c>
      <c r="H59" s="478">
        <f t="shared" si="7"/>
        <v>0</v>
      </c>
      <c r="I59" s="501">
        <f t="shared" si="1"/>
        <v>0</v>
      </c>
      <c r="J59" s="501"/>
      <c r="K59" s="513"/>
      <c r="L59" s="505">
        <f t="shared" si="2"/>
        <v>0</v>
      </c>
      <c r="M59" s="513"/>
      <c r="N59" s="505">
        <f t="shared" si="3"/>
        <v>0</v>
      </c>
      <c r="O59" s="505">
        <f t="shared" si="4"/>
        <v>0</v>
      </c>
      <c r="P59" s="279"/>
    </row>
    <row r="60" spans="2:16" ht="12.5">
      <c r="B60" s="145" t="str">
        <f t="shared" si="0"/>
        <v/>
      </c>
      <c r="C60" s="496">
        <f>IF(D11="","-",+C59+1)</f>
        <v>2063</v>
      </c>
      <c r="D60" s="509">
        <f>IF(F59+SUM(E$17:E59)=D$10,F59,D$10-SUM(E$17:E59))</f>
        <v>0</v>
      </c>
      <c r="E60" s="510">
        <f t="shared" si="8"/>
        <v>0</v>
      </c>
      <c r="F60" s="511">
        <f t="shared" si="5"/>
        <v>0</v>
      </c>
      <c r="G60" s="512">
        <f t="shared" si="6"/>
        <v>0</v>
      </c>
      <c r="H60" s="478">
        <f t="shared" si="7"/>
        <v>0</v>
      </c>
      <c r="I60" s="501">
        <f t="shared" si="1"/>
        <v>0</v>
      </c>
      <c r="J60" s="501"/>
      <c r="K60" s="513"/>
      <c r="L60" s="505">
        <f t="shared" si="2"/>
        <v>0</v>
      </c>
      <c r="M60" s="513"/>
      <c r="N60" s="505">
        <f t="shared" si="3"/>
        <v>0</v>
      </c>
      <c r="O60" s="505">
        <f t="shared" si="4"/>
        <v>0</v>
      </c>
      <c r="P60" s="279"/>
    </row>
    <row r="61" spans="2:16" ht="12.5">
      <c r="B61" s="145" t="str">
        <f t="shared" si="0"/>
        <v/>
      </c>
      <c r="C61" s="496">
        <f>IF(D11="","-",+C60+1)</f>
        <v>2064</v>
      </c>
      <c r="D61" s="509">
        <f>IF(F60+SUM(E$17:E60)=D$10,F60,D$10-SUM(E$17:E60))</f>
        <v>0</v>
      </c>
      <c r="E61" s="510">
        <f t="shared" si="8"/>
        <v>0</v>
      </c>
      <c r="F61" s="511">
        <f t="shared" si="5"/>
        <v>0</v>
      </c>
      <c r="G61" s="524">
        <f t="shared" si="6"/>
        <v>0</v>
      </c>
      <c r="H61" s="478">
        <f t="shared" si="7"/>
        <v>0</v>
      </c>
      <c r="I61" s="501">
        <f t="shared" si="1"/>
        <v>0</v>
      </c>
      <c r="J61" s="501"/>
      <c r="K61" s="513"/>
      <c r="L61" s="505">
        <f t="shared" si="2"/>
        <v>0</v>
      </c>
      <c r="M61" s="513"/>
      <c r="N61" s="505">
        <f t="shared" si="3"/>
        <v>0</v>
      </c>
      <c r="O61" s="505">
        <f t="shared" si="4"/>
        <v>0</v>
      </c>
      <c r="P61" s="279"/>
    </row>
    <row r="62" spans="2:16" ht="12.5">
      <c r="B62" s="145" t="str">
        <f t="shared" si="0"/>
        <v/>
      </c>
      <c r="C62" s="496">
        <f>IF(D11="","-",+C61+1)</f>
        <v>2065</v>
      </c>
      <c r="D62" s="509">
        <f>IF(F61+SUM(E$17:E61)=D$10,F61,D$10-SUM(E$17:E61))</f>
        <v>0</v>
      </c>
      <c r="E62" s="510">
        <f t="shared" si="8"/>
        <v>0</v>
      </c>
      <c r="F62" s="511">
        <f t="shared" si="5"/>
        <v>0</v>
      </c>
      <c r="G62" s="524">
        <f t="shared" si="6"/>
        <v>0</v>
      </c>
      <c r="H62" s="478">
        <f t="shared" si="7"/>
        <v>0</v>
      </c>
      <c r="I62" s="501">
        <f t="shared" si="1"/>
        <v>0</v>
      </c>
      <c r="J62" s="501"/>
      <c r="K62" s="513"/>
      <c r="L62" s="505">
        <f t="shared" si="2"/>
        <v>0</v>
      </c>
      <c r="M62" s="513"/>
      <c r="N62" s="505">
        <f t="shared" si="3"/>
        <v>0</v>
      </c>
      <c r="O62" s="505">
        <f t="shared" si="4"/>
        <v>0</v>
      </c>
      <c r="P62" s="279"/>
    </row>
    <row r="63" spans="2:16" ht="12.5">
      <c r="B63" s="145" t="str">
        <f t="shared" si="0"/>
        <v/>
      </c>
      <c r="C63" s="496">
        <f>IF(D11="","-",+C62+1)</f>
        <v>2066</v>
      </c>
      <c r="D63" s="509">
        <f>IF(F62+SUM(E$17:E62)=D$10,F62,D$10-SUM(E$17:E62))</f>
        <v>0</v>
      </c>
      <c r="E63" s="510">
        <f t="shared" si="8"/>
        <v>0</v>
      </c>
      <c r="F63" s="511">
        <f t="shared" si="5"/>
        <v>0</v>
      </c>
      <c r="G63" s="524">
        <f t="shared" si="6"/>
        <v>0</v>
      </c>
      <c r="H63" s="478">
        <f t="shared" si="7"/>
        <v>0</v>
      </c>
      <c r="I63" s="501">
        <f t="shared" si="1"/>
        <v>0</v>
      </c>
      <c r="J63" s="501"/>
      <c r="K63" s="513"/>
      <c r="L63" s="505">
        <f t="shared" si="2"/>
        <v>0</v>
      </c>
      <c r="M63" s="513"/>
      <c r="N63" s="505">
        <f t="shared" si="3"/>
        <v>0</v>
      </c>
      <c r="O63" s="505">
        <f t="shared" si="4"/>
        <v>0</v>
      </c>
      <c r="P63" s="279"/>
    </row>
    <row r="64" spans="2:16" ht="12.5">
      <c r="B64" s="145" t="str">
        <f t="shared" si="0"/>
        <v/>
      </c>
      <c r="C64" s="496">
        <f>IF(D11="","-",+C63+1)</f>
        <v>2067</v>
      </c>
      <c r="D64" s="509">
        <f>IF(F63+SUM(E$17:E63)=D$10,F63,D$10-SUM(E$17:E63))</f>
        <v>0</v>
      </c>
      <c r="E64" s="510">
        <f t="shared" si="8"/>
        <v>0</v>
      </c>
      <c r="F64" s="511">
        <f t="shared" si="5"/>
        <v>0</v>
      </c>
      <c r="G64" s="524">
        <f t="shared" si="6"/>
        <v>0</v>
      </c>
      <c r="H64" s="478">
        <f t="shared" si="7"/>
        <v>0</v>
      </c>
      <c r="I64" s="501">
        <f t="shared" si="1"/>
        <v>0</v>
      </c>
      <c r="J64" s="501"/>
      <c r="K64" s="513"/>
      <c r="L64" s="505">
        <f t="shared" si="2"/>
        <v>0</v>
      </c>
      <c r="M64" s="513"/>
      <c r="N64" s="505">
        <f t="shared" si="3"/>
        <v>0</v>
      </c>
      <c r="O64" s="505">
        <f t="shared" si="4"/>
        <v>0</v>
      </c>
      <c r="P64" s="279"/>
    </row>
    <row r="65" spans="2:16" ht="12.5">
      <c r="B65" s="145" t="str">
        <f t="shared" si="0"/>
        <v/>
      </c>
      <c r="C65" s="496">
        <f>IF(D11="","-",+C64+1)</f>
        <v>2068</v>
      </c>
      <c r="D65" s="509">
        <f>IF(F64+SUM(E$17:E64)=D$10,F64,D$10-SUM(E$17:E64))</f>
        <v>0</v>
      </c>
      <c r="E65" s="510">
        <f t="shared" si="8"/>
        <v>0</v>
      </c>
      <c r="F65" s="511">
        <f t="shared" si="5"/>
        <v>0</v>
      </c>
      <c r="G65" s="524">
        <f t="shared" si="6"/>
        <v>0</v>
      </c>
      <c r="H65" s="478">
        <f t="shared" si="7"/>
        <v>0</v>
      </c>
      <c r="I65" s="501">
        <f t="shared" si="1"/>
        <v>0</v>
      </c>
      <c r="J65" s="501"/>
      <c r="K65" s="513"/>
      <c r="L65" s="505">
        <f t="shared" si="2"/>
        <v>0</v>
      </c>
      <c r="M65" s="513"/>
      <c r="N65" s="505">
        <f t="shared" si="3"/>
        <v>0</v>
      </c>
      <c r="O65" s="505">
        <f t="shared" si="4"/>
        <v>0</v>
      </c>
      <c r="P65" s="279"/>
    </row>
    <row r="66" spans="2:16" ht="12.5">
      <c r="B66" s="145" t="str">
        <f t="shared" si="0"/>
        <v/>
      </c>
      <c r="C66" s="496">
        <f>IF(D11="","-",+C65+1)</f>
        <v>2069</v>
      </c>
      <c r="D66" s="509">
        <f>IF(F65+SUM(E$17:E65)=D$10,F65,D$10-SUM(E$17:E65))</f>
        <v>0</v>
      </c>
      <c r="E66" s="510">
        <f t="shared" si="8"/>
        <v>0</v>
      </c>
      <c r="F66" s="511">
        <f t="shared" si="5"/>
        <v>0</v>
      </c>
      <c r="G66" s="524">
        <f t="shared" si="6"/>
        <v>0</v>
      </c>
      <c r="H66" s="478">
        <f t="shared" si="7"/>
        <v>0</v>
      </c>
      <c r="I66" s="501">
        <f t="shared" si="1"/>
        <v>0</v>
      </c>
      <c r="J66" s="501"/>
      <c r="K66" s="513"/>
      <c r="L66" s="505">
        <f t="shared" si="2"/>
        <v>0</v>
      </c>
      <c r="M66" s="513"/>
      <c r="N66" s="505">
        <f t="shared" si="3"/>
        <v>0</v>
      </c>
      <c r="O66" s="505">
        <f t="shared" si="4"/>
        <v>0</v>
      </c>
      <c r="P66" s="279"/>
    </row>
    <row r="67" spans="2:16" ht="12.5">
      <c r="B67" s="145" t="str">
        <f t="shared" si="0"/>
        <v/>
      </c>
      <c r="C67" s="496">
        <f>IF(D11="","-",+C66+1)</f>
        <v>2070</v>
      </c>
      <c r="D67" s="509">
        <f>IF(F66+SUM(E$17:E66)=D$10,F66,D$10-SUM(E$17:E66))</f>
        <v>0</v>
      </c>
      <c r="E67" s="510">
        <f t="shared" si="8"/>
        <v>0</v>
      </c>
      <c r="F67" s="511">
        <f t="shared" si="5"/>
        <v>0</v>
      </c>
      <c r="G67" s="524">
        <f t="shared" si="6"/>
        <v>0</v>
      </c>
      <c r="H67" s="478">
        <f t="shared" si="7"/>
        <v>0</v>
      </c>
      <c r="I67" s="501">
        <f t="shared" si="1"/>
        <v>0</v>
      </c>
      <c r="J67" s="501"/>
      <c r="K67" s="513"/>
      <c r="L67" s="505">
        <f t="shared" si="2"/>
        <v>0</v>
      </c>
      <c r="M67" s="513"/>
      <c r="N67" s="505">
        <f t="shared" si="3"/>
        <v>0</v>
      </c>
      <c r="O67" s="505">
        <f t="shared" si="4"/>
        <v>0</v>
      </c>
      <c r="P67" s="279"/>
    </row>
    <row r="68" spans="2:16" ht="12.5">
      <c r="B68" s="145" t="str">
        <f t="shared" si="0"/>
        <v/>
      </c>
      <c r="C68" s="496">
        <f>IF(D11="","-",+C67+1)</f>
        <v>2071</v>
      </c>
      <c r="D68" s="509">
        <f>IF(F67+SUM(E$17:E67)=D$10,F67,D$10-SUM(E$17:E67))</f>
        <v>0</v>
      </c>
      <c r="E68" s="510">
        <f t="shared" si="8"/>
        <v>0</v>
      </c>
      <c r="F68" s="511">
        <f t="shared" si="5"/>
        <v>0</v>
      </c>
      <c r="G68" s="524">
        <f t="shared" si="6"/>
        <v>0</v>
      </c>
      <c r="H68" s="478">
        <f t="shared" si="7"/>
        <v>0</v>
      </c>
      <c r="I68" s="501">
        <f t="shared" si="1"/>
        <v>0</v>
      </c>
      <c r="J68" s="501"/>
      <c r="K68" s="513"/>
      <c r="L68" s="505">
        <f t="shared" si="2"/>
        <v>0</v>
      </c>
      <c r="M68" s="513"/>
      <c r="N68" s="505">
        <f t="shared" si="3"/>
        <v>0</v>
      </c>
      <c r="O68" s="505">
        <f t="shared" si="4"/>
        <v>0</v>
      </c>
      <c r="P68" s="279"/>
    </row>
    <row r="69" spans="2:16" ht="12.5">
      <c r="B69" s="145" t="str">
        <f t="shared" si="0"/>
        <v/>
      </c>
      <c r="C69" s="496">
        <f>IF(D11="","-",+C68+1)</f>
        <v>2072</v>
      </c>
      <c r="D69" s="509">
        <f>IF(F68+SUM(E$17:E68)=D$10,F68,D$10-SUM(E$17:E68))</f>
        <v>0</v>
      </c>
      <c r="E69" s="510">
        <f t="shared" si="8"/>
        <v>0</v>
      </c>
      <c r="F69" s="511">
        <f t="shared" si="5"/>
        <v>0</v>
      </c>
      <c r="G69" s="524">
        <f t="shared" si="6"/>
        <v>0</v>
      </c>
      <c r="H69" s="478">
        <f t="shared" si="7"/>
        <v>0</v>
      </c>
      <c r="I69" s="501">
        <f t="shared" si="1"/>
        <v>0</v>
      </c>
      <c r="J69" s="501"/>
      <c r="K69" s="513"/>
      <c r="L69" s="505">
        <f t="shared" si="2"/>
        <v>0</v>
      </c>
      <c r="M69" s="513"/>
      <c r="N69" s="505">
        <f t="shared" si="3"/>
        <v>0</v>
      </c>
      <c r="O69" s="505">
        <f t="shared" si="4"/>
        <v>0</v>
      </c>
      <c r="P69" s="279"/>
    </row>
    <row r="70" spans="2:16" ht="12.5">
      <c r="B70" s="145" t="str">
        <f t="shared" si="0"/>
        <v/>
      </c>
      <c r="C70" s="496">
        <f>IF(D11="","-",+C69+1)</f>
        <v>2073</v>
      </c>
      <c r="D70" s="509">
        <f>IF(F69+SUM(E$17:E69)=D$10,F69,D$10-SUM(E$17:E69))</f>
        <v>0</v>
      </c>
      <c r="E70" s="510">
        <f t="shared" si="8"/>
        <v>0</v>
      </c>
      <c r="F70" s="511">
        <f t="shared" si="5"/>
        <v>0</v>
      </c>
      <c r="G70" s="524">
        <f t="shared" si="6"/>
        <v>0</v>
      </c>
      <c r="H70" s="478">
        <f t="shared" si="7"/>
        <v>0</v>
      </c>
      <c r="I70" s="501">
        <f t="shared" si="1"/>
        <v>0</v>
      </c>
      <c r="J70" s="501"/>
      <c r="K70" s="513"/>
      <c r="L70" s="505">
        <f t="shared" si="2"/>
        <v>0</v>
      </c>
      <c r="M70" s="513"/>
      <c r="N70" s="505">
        <f t="shared" si="3"/>
        <v>0</v>
      </c>
      <c r="O70" s="505">
        <f t="shared" si="4"/>
        <v>0</v>
      </c>
      <c r="P70" s="279"/>
    </row>
    <row r="71" spans="2:16" ht="12.5">
      <c r="B71" s="145" t="str">
        <f t="shared" si="0"/>
        <v/>
      </c>
      <c r="C71" s="496">
        <f>IF(D11="","-",+C70+1)</f>
        <v>2074</v>
      </c>
      <c r="D71" s="509">
        <f>IF(F70+SUM(E$17:E70)=D$10,F70,D$10-SUM(E$17:E70))</f>
        <v>0</v>
      </c>
      <c r="E71" s="510">
        <f t="shared" si="8"/>
        <v>0</v>
      </c>
      <c r="F71" s="511">
        <f t="shared" si="5"/>
        <v>0</v>
      </c>
      <c r="G71" s="524">
        <f t="shared" si="6"/>
        <v>0</v>
      </c>
      <c r="H71" s="478">
        <f t="shared" si="7"/>
        <v>0</v>
      </c>
      <c r="I71" s="501">
        <f t="shared" si="1"/>
        <v>0</v>
      </c>
      <c r="J71" s="501"/>
      <c r="K71" s="513"/>
      <c r="L71" s="505">
        <f t="shared" si="2"/>
        <v>0</v>
      </c>
      <c r="M71" s="513"/>
      <c r="N71" s="505">
        <f t="shared" si="3"/>
        <v>0</v>
      </c>
      <c r="O71" s="505">
        <f t="shared" si="4"/>
        <v>0</v>
      </c>
      <c r="P71" s="279"/>
    </row>
    <row r="72" spans="2:16" ht="12.5">
      <c r="C72" s="496">
        <f>IF(D12="","-",+C71+1)</f>
        <v>2075</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2076</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3941409.9999999995</v>
      </c>
      <c r="F74" s="295"/>
      <c r="G74" s="295">
        <f>SUM(G17:G73)</f>
        <v>11070022.983649841</v>
      </c>
      <c r="H74" s="295">
        <f>SUM(H17:H73)</f>
        <v>11070022.983649841</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20 of 20</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2020</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235038.97436975082</v>
      </c>
      <c r="N88" s="545">
        <f>IF(J93&lt;D11,0,VLOOKUP(J93,C17:O73,11))</f>
        <v>235038.97436975082</v>
      </c>
      <c r="O88" s="546">
        <f>+N88-M88</f>
        <v>0</v>
      </c>
      <c r="P88" s="244"/>
    </row>
    <row r="89" spans="1:16" ht="15.5">
      <c r="C89" s="236"/>
      <c r="D89" s="293"/>
      <c r="E89" s="244"/>
      <c r="F89" s="244"/>
      <c r="G89" s="244"/>
      <c r="H89" s="244"/>
      <c r="I89" s="450"/>
      <c r="J89" s="450"/>
      <c r="K89" s="547"/>
      <c r="L89" s="548" t="s">
        <v>254</v>
      </c>
      <c r="M89" s="549">
        <f>IF(J93&lt;D11,0,VLOOKUP(J93,C100:P155,6))</f>
        <v>239662.05345541207</v>
      </c>
      <c r="N89" s="549">
        <f>IF(J93&lt;D11,0,VLOOKUP(J93,C100:P155,7))</f>
        <v>239662.05345541207</v>
      </c>
      <c r="O89" s="550">
        <f>+N89-M89</f>
        <v>0</v>
      </c>
      <c r="P89" s="244"/>
    </row>
    <row r="90" spans="1:16" ht="13.5" thickBot="1">
      <c r="C90" s="455" t="s">
        <v>82</v>
      </c>
      <c r="D90" s="551" t="str">
        <f>+D7</f>
        <v>Keystone Dam - Wekiwa 138 kV</v>
      </c>
      <c r="E90" s="244"/>
      <c r="F90" s="244"/>
      <c r="G90" s="244"/>
      <c r="H90" s="244"/>
      <c r="I90" s="326"/>
      <c r="J90" s="326"/>
      <c r="K90" s="552"/>
      <c r="L90" s="553" t="s">
        <v>135</v>
      </c>
      <c r="M90" s="554">
        <f>+M89-M88</f>
        <v>4623.0790856612439</v>
      </c>
      <c r="N90" s="554">
        <f>+N89-N88</f>
        <v>4623.0790856612439</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TP2015118</v>
      </c>
      <c r="E92" s="559"/>
      <c r="F92" s="559"/>
      <c r="G92" s="559"/>
      <c r="H92" s="559"/>
      <c r="I92" s="559"/>
      <c r="J92" s="559"/>
      <c r="K92" s="561"/>
      <c r="P92" s="469"/>
    </row>
    <row r="93" spans="1:16" ht="13">
      <c r="C93" s="473" t="s">
        <v>49</v>
      </c>
      <c r="D93" s="475">
        <v>3418188</v>
      </c>
      <c r="E93" s="249" t="s">
        <v>84</v>
      </c>
      <c r="H93" s="409"/>
      <c r="I93" s="409"/>
      <c r="J93" s="472">
        <f>+'OKT.WS.G.BPU.ATRR.True-up'!M16</f>
        <v>2020</v>
      </c>
      <c r="K93" s="468"/>
      <c r="L93" s="295" t="s">
        <v>85</v>
      </c>
      <c r="P93" s="279"/>
    </row>
    <row r="94" spans="1:16" ht="12.5">
      <c r="C94" s="473" t="s">
        <v>52</v>
      </c>
      <c r="D94" s="562">
        <f>IF(D11="","",D11)</f>
        <v>2020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6</v>
      </c>
      <c r="E95" s="473" t="s">
        <v>55</v>
      </c>
      <c r="F95" s="409"/>
      <c r="G95" s="409"/>
      <c r="J95" s="477">
        <f>'OKT.WS.G.BPU.ATRR.True-up'!$F$81</f>
        <v>0.10641349897030054</v>
      </c>
      <c r="K95" s="414"/>
      <c r="L95" s="145" t="s">
        <v>86</v>
      </c>
      <c r="P95" s="279"/>
    </row>
    <row r="96" spans="1:16" ht="12.5">
      <c r="C96" s="473" t="s">
        <v>57</v>
      </c>
      <c r="D96" s="475">
        <f>'OKT.WS.G.BPU.ATRR.True-up'!F$93</f>
        <v>28</v>
      </c>
      <c r="E96" s="473" t="s">
        <v>58</v>
      </c>
      <c r="F96" s="409"/>
      <c r="G96" s="409"/>
      <c r="J96" s="477">
        <f>IF(H88="",J95,'OKT.WS.G.BPU.ATRR.True-up'!$F$80)</f>
        <v>0.10641349897030054</v>
      </c>
      <c r="K96" s="292"/>
      <c r="L96" s="295" t="s">
        <v>59</v>
      </c>
      <c r="M96" s="292"/>
      <c r="N96" s="292"/>
      <c r="O96" s="292"/>
      <c r="P96" s="279"/>
    </row>
    <row r="97" spans="1:16" ht="13" thickBot="1">
      <c r="C97" s="473" t="s">
        <v>60</v>
      </c>
      <c r="D97" s="563" t="str">
        <f>+D14</f>
        <v>No</v>
      </c>
      <c r="E97" s="564" t="s">
        <v>62</v>
      </c>
      <c r="F97" s="565"/>
      <c r="G97" s="565"/>
      <c r="H97" s="566"/>
      <c r="I97" s="566"/>
      <c r="J97" s="459">
        <f>IF(D93=0,0,D93/D96)</f>
        <v>122078.14285714286</v>
      </c>
      <c r="K97" s="295"/>
      <c r="L97" s="295"/>
      <c r="M97" s="295"/>
      <c r="N97" s="295"/>
      <c r="O97" s="295"/>
      <c r="P97" s="279"/>
    </row>
    <row r="98" spans="1:16" ht="39">
      <c r="A98" s="644"/>
      <c r="B98" s="644"/>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9">IF(D100=F99,"","IU")</f>
        <v>IU</v>
      </c>
      <c r="C100" s="496">
        <f>IF(D94= "","-",D94)</f>
        <v>2020</v>
      </c>
      <c r="D100" s="497">
        <f>IF(D94=C100,0,IF(D93&lt;100000,0,D93))</f>
        <v>0</v>
      </c>
      <c r="E100" s="499">
        <f>IF(D93&lt;100000,0,J$97/12*(12-D95))</f>
        <v>61039.07142857142</v>
      </c>
      <c r="F100" s="506">
        <f>IF(D94=C100,+D93-E100,+D100-E100)</f>
        <v>3357148.9285714286</v>
      </c>
      <c r="G100" s="506">
        <f>+(F100+D100)/2</f>
        <v>1678574.4642857143</v>
      </c>
      <c r="H100" s="506">
        <f t="shared" ref="H100:H131" si="10">(D100+F100)/2*J$95+E100</f>
        <v>239662.05345541207</v>
      </c>
      <c r="I100" s="500">
        <f>+J$96*G100+E100</f>
        <v>239662.05345541207</v>
      </c>
      <c r="J100" s="505">
        <f t="shared" ref="J100:J131" si="11">+I100-H100</f>
        <v>0</v>
      </c>
      <c r="K100" s="505"/>
      <c r="L100" s="507">
        <f>+H100</f>
        <v>239662.05345541207</v>
      </c>
      <c r="M100" s="505">
        <f t="shared" ref="M100:M131" si="12">IF(L100&lt;&gt;0,+H100-L100,0)</f>
        <v>0</v>
      </c>
      <c r="N100" s="507">
        <f>+I100</f>
        <v>239662.05345541207</v>
      </c>
      <c r="O100" s="587">
        <f t="shared" ref="O100:O131" si="13">IF(N100&lt;&gt;0,+I100-N100,0)</f>
        <v>0</v>
      </c>
      <c r="P100" s="505">
        <f t="shared" ref="P100:P131" si="14">+O100-M100</f>
        <v>0</v>
      </c>
    </row>
    <row r="101" spans="1:16" ht="12.5">
      <c r="B101" s="145" t="str">
        <f t="shared" si="9"/>
        <v/>
      </c>
      <c r="C101" s="496">
        <f>IF(D94="","-",+C100+1)</f>
        <v>2021</v>
      </c>
      <c r="D101" s="350">
        <f>IF(F100+SUM(E$100:E100)=D$93,F100,D$93-SUM(E$100:E100))</f>
        <v>3357148.9285714286</v>
      </c>
      <c r="E101" s="510">
        <f t="shared" ref="E101:E155" si="15">IF(+J$97&lt;F100,J$97,D101)</f>
        <v>122078.14285714286</v>
      </c>
      <c r="F101" s="511">
        <f t="shared" ref="F101:F155" si="16">+D101-E101</f>
        <v>3235070.7857142859</v>
      </c>
      <c r="G101" s="511">
        <f t="shared" ref="G101:G155" si="17">+(F101+D101)/2</f>
        <v>3296109.8571428573</v>
      </c>
      <c r="H101" s="646">
        <f t="shared" si="10"/>
        <v>472828.72574621177</v>
      </c>
      <c r="I101" s="628">
        <f t="shared" ref="I101:I155" si="18">+J$96*G101+E101</f>
        <v>472828.72574621177</v>
      </c>
      <c r="J101" s="505">
        <f t="shared" si="11"/>
        <v>0</v>
      </c>
      <c r="K101" s="505"/>
      <c r="L101" s="513"/>
      <c r="M101" s="505">
        <f t="shared" si="12"/>
        <v>0</v>
      </c>
      <c r="N101" s="513"/>
      <c r="O101" s="505">
        <f t="shared" si="13"/>
        <v>0</v>
      </c>
      <c r="P101" s="505">
        <f t="shared" si="14"/>
        <v>0</v>
      </c>
    </row>
    <row r="102" spans="1:16" ht="12.5">
      <c r="B102" s="145" t="str">
        <f t="shared" si="9"/>
        <v/>
      </c>
      <c r="C102" s="496">
        <f>IF(D94="","-",+C101+1)</f>
        <v>2022</v>
      </c>
      <c r="D102" s="350">
        <f>IF(F101+SUM(E$100:E101)=D$93,F101,D$93-SUM(E$100:E101))</f>
        <v>3235070.7857142859</v>
      </c>
      <c r="E102" s="510">
        <f t="shared" si="15"/>
        <v>122078.14285714286</v>
      </c>
      <c r="F102" s="511">
        <f t="shared" si="16"/>
        <v>3112992.6428571432</v>
      </c>
      <c r="G102" s="511">
        <f t="shared" si="17"/>
        <v>3174031.7142857146</v>
      </c>
      <c r="H102" s="646">
        <f t="shared" si="10"/>
        <v>459837.96341698698</v>
      </c>
      <c r="I102" s="628">
        <f t="shared" si="18"/>
        <v>459837.96341698698</v>
      </c>
      <c r="J102" s="505">
        <f t="shared" si="11"/>
        <v>0</v>
      </c>
      <c r="K102" s="505"/>
      <c r="L102" s="513"/>
      <c r="M102" s="505">
        <f t="shared" si="12"/>
        <v>0</v>
      </c>
      <c r="N102" s="513"/>
      <c r="O102" s="505">
        <f t="shared" si="13"/>
        <v>0</v>
      </c>
      <c r="P102" s="505">
        <f t="shared" si="14"/>
        <v>0</v>
      </c>
    </row>
    <row r="103" spans="1:16" ht="12.5">
      <c r="B103" s="145" t="str">
        <f t="shared" si="9"/>
        <v/>
      </c>
      <c r="C103" s="496">
        <f>IF(D94="","-",+C102+1)</f>
        <v>2023</v>
      </c>
      <c r="D103" s="350">
        <f>IF(F102+SUM(E$100:E102)=D$93,F102,D$93-SUM(E$100:E102))</f>
        <v>3112992.6428571432</v>
      </c>
      <c r="E103" s="510">
        <f t="shared" si="15"/>
        <v>122078.14285714286</v>
      </c>
      <c r="F103" s="511">
        <f t="shared" si="16"/>
        <v>2990914.5000000005</v>
      </c>
      <c r="G103" s="511">
        <f t="shared" si="17"/>
        <v>3051953.5714285718</v>
      </c>
      <c r="H103" s="646">
        <f t="shared" si="10"/>
        <v>446847.20108776225</v>
      </c>
      <c r="I103" s="628">
        <f t="shared" si="18"/>
        <v>446847.20108776225</v>
      </c>
      <c r="J103" s="505">
        <f t="shared" si="11"/>
        <v>0</v>
      </c>
      <c r="K103" s="505"/>
      <c r="L103" s="513"/>
      <c r="M103" s="505">
        <f t="shared" si="12"/>
        <v>0</v>
      </c>
      <c r="N103" s="513"/>
      <c r="O103" s="505">
        <f t="shared" si="13"/>
        <v>0</v>
      </c>
      <c r="P103" s="505">
        <f t="shared" si="14"/>
        <v>0</v>
      </c>
    </row>
    <row r="104" spans="1:16" ht="12.5">
      <c r="B104" s="145" t="str">
        <f t="shared" si="9"/>
        <v/>
      </c>
      <c r="C104" s="496">
        <f>IF(D94="","-",+C103+1)</f>
        <v>2024</v>
      </c>
      <c r="D104" s="350">
        <f>IF(F103+SUM(E$100:E103)=D$93,F103,D$93-SUM(E$100:E103))</f>
        <v>2990914.5000000005</v>
      </c>
      <c r="E104" s="510">
        <f t="shared" si="15"/>
        <v>122078.14285714286</v>
      </c>
      <c r="F104" s="511">
        <f t="shared" si="16"/>
        <v>2868836.3571428577</v>
      </c>
      <c r="G104" s="511">
        <f t="shared" si="17"/>
        <v>2929875.4285714291</v>
      </c>
      <c r="H104" s="646">
        <f t="shared" si="10"/>
        <v>433856.43875853746</v>
      </c>
      <c r="I104" s="628">
        <f t="shared" si="18"/>
        <v>433856.43875853746</v>
      </c>
      <c r="J104" s="505">
        <f t="shared" si="11"/>
        <v>0</v>
      </c>
      <c r="K104" s="505"/>
      <c r="L104" s="513"/>
      <c r="M104" s="505">
        <f t="shared" si="12"/>
        <v>0</v>
      </c>
      <c r="N104" s="513"/>
      <c r="O104" s="505">
        <f t="shared" si="13"/>
        <v>0</v>
      </c>
      <c r="P104" s="505">
        <f t="shared" si="14"/>
        <v>0</v>
      </c>
    </row>
    <row r="105" spans="1:16" ht="12.5">
      <c r="B105" s="145" t="str">
        <f t="shared" si="9"/>
        <v/>
      </c>
      <c r="C105" s="496">
        <f>IF(D94="","-",+C104+1)</f>
        <v>2025</v>
      </c>
      <c r="D105" s="350">
        <f>IF(F104+SUM(E$100:E104)=D$93,F104,D$93-SUM(E$100:E104))</f>
        <v>2868836.3571428577</v>
      </c>
      <c r="E105" s="510">
        <f t="shared" si="15"/>
        <v>122078.14285714286</v>
      </c>
      <c r="F105" s="511">
        <f t="shared" si="16"/>
        <v>2746758.214285715</v>
      </c>
      <c r="G105" s="511">
        <f t="shared" si="17"/>
        <v>2807797.2857142864</v>
      </c>
      <c r="H105" s="646">
        <f t="shared" si="10"/>
        <v>420865.67642931273</v>
      </c>
      <c r="I105" s="628">
        <f t="shared" si="18"/>
        <v>420865.67642931273</v>
      </c>
      <c r="J105" s="505">
        <f t="shared" si="11"/>
        <v>0</v>
      </c>
      <c r="K105" s="505"/>
      <c r="L105" s="513"/>
      <c r="M105" s="505">
        <f t="shared" si="12"/>
        <v>0</v>
      </c>
      <c r="N105" s="513"/>
      <c r="O105" s="505">
        <f t="shared" si="13"/>
        <v>0</v>
      </c>
      <c r="P105" s="505">
        <f t="shared" si="14"/>
        <v>0</v>
      </c>
    </row>
    <row r="106" spans="1:16" ht="12.5">
      <c r="B106" s="145" t="str">
        <f t="shared" si="9"/>
        <v/>
      </c>
      <c r="C106" s="496">
        <f>IF(D94="","-",+C105+1)</f>
        <v>2026</v>
      </c>
      <c r="D106" s="350">
        <f>IF(F105+SUM(E$100:E105)=D$93,F105,D$93-SUM(E$100:E105))</f>
        <v>2746758.214285715</v>
      </c>
      <c r="E106" s="510">
        <f t="shared" si="15"/>
        <v>122078.14285714286</v>
      </c>
      <c r="F106" s="511">
        <f t="shared" si="16"/>
        <v>2624680.0714285723</v>
      </c>
      <c r="G106" s="511">
        <f t="shared" si="17"/>
        <v>2685719.1428571437</v>
      </c>
      <c r="H106" s="646">
        <f t="shared" si="10"/>
        <v>407874.91410008795</v>
      </c>
      <c r="I106" s="628">
        <f t="shared" si="18"/>
        <v>407874.91410008795</v>
      </c>
      <c r="J106" s="505">
        <f t="shared" si="11"/>
        <v>0</v>
      </c>
      <c r="K106" s="505"/>
      <c r="L106" s="513"/>
      <c r="M106" s="505">
        <f t="shared" si="12"/>
        <v>0</v>
      </c>
      <c r="N106" s="513"/>
      <c r="O106" s="505">
        <f t="shared" si="13"/>
        <v>0</v>
      </c>
      <c r="P106" s="505">
        <f t="shared" si="14"/>
        <v>0</v>
      </c>
    </row>
    <row r="107" spans="1:16" ht="12.5">
      <c r="B107" s="145" t="str">
        <f t="shared" si="9"/>
        <v/>
      </c>
      <c r="C107" s="496">
        <f>IF(D94="","-",+C106+1)</f>
        <v>2027</v>
      </c>
      <c r="D107" s="350">
        <f>IF(F106+SUM(E$100:E106)=D$93,F106,D$93-SUM(E$100:E106))</f>
        <v>2624680.0714285723</v>
      </c>
      <c r="E107" s="510">
        <f t="shared" si="15"/>
        <v>122078.14285714286</v>
      </c>
      <c r="F107" s="511">
        <f t="shared" si="16"/>
        <v>2502601.9285714296</v>
      </c>
      <c r="G107" s="511">
        <f t="shared" si="17"/>
        <v>2563641.0000000009</v>
      </c>
      <c r="H107" s="646">
        <f t="shared" si="10"/>
        <v>394884.15177086322</v>
      </c>
      <c r="I107" s="628">
        <f t="shared" si="18"/>
        <v>394884.15177086322</v>
      </c>
      <c r="J107" s="505">
        <f t="shared" si="11"/>
        <v>0</v>
      </c>
      <c r="K107" s="505"/>
      <c r="L107" s="513"/>
      <c r="M107" s="505">
        <f t="shared" si="12"/>
        <v>0</v>
      </c>
      <c r="N107" s="513"/>
      <c r="O107" s="505">
        <f t="shared" si="13"/>
        <v>0</v>
      </c>
      <c r="P107" s="505">
        <f t="shared" si="14"/>
        <v>0</v>
      </c>
    </row>
    <row r="108" spans="1:16" ht="12.5">
      <c r="B108" s="145" t="str">
        <f t="shared" si="9"/>
        <v/>
      </c>
      <c r="C108" s="496">
        <f>IF(D94="","-",+C107+1)</f>
        <v>2028</v>
      </c>
      <c r="D108" s="350">
        <f>IF(F107+SUM(E$100:E107)=D$93,F107,D$93-SUM(E$100:E107))</f>
        <v>2502601.9285714296</v>
      </c>
      <c r="E108" s="510">
        <f t="shared" si="15"/>
        <v>122078.14285714286</v>
      </c>
      <c r="F108" s="511">
        <f t="shared" si="16"/>
        <v>2380523.7857142868</v>
      </c>
      <c r="G108" s="511">
        <f t="shared" si="17"/>
        <v>2441562.8571428582</v>
      </c>
      <c r="H108" s="646">
        <f t="shared" si="10"/>
        <v>381893.38944163843</v>
      </c>
      <c r="I108" s="628">
        <f t="shared" si="18"/>
        <v>381893.38944163843</v>
      </c>
      <c r="J108" s="505">
        <f t="shared" si="11"/>
        <v>0</v>
      </c>
      <c r="K108" s="505"/>
      <c r="L108" s="513"/>
      <c r="M108" s="505">
        <f t="shared" si="12"/>
        <v>0</v>
      </c>
      <c r="N108" s="513"/>
      <c r="O108" s="505">
        <f t="shared" si="13"/>
        <v>0</v>
      </c>
      <c r="P108" s="505">
        <f t="shared" si="14"/>
        <v>0</v>
      </c>
    </row>
    <row r="109" spans="1:16" ht="12.5">
      <c r="B109" s="145" t="str">
        <f t="shared" si="9"/>
        <v/>
      </c>
      <c r="C109" s="496">
        <f>IF(D94="","-",+C108+1)</f>
        <v>2029</v>
      </c>
      <c r="D109" s="350">
        <f>IF(F108+SUM(E$100:E108)=D$93,F108,D$93-SUM(E$100:E108))</f>
        <v>2380523.7857142868</v>
      </c>
      <c r="E109" s="510">
        <f t="shared" si="15"/>
        <v>122078.14285714286</v>
      </c>
      <c r="F109" s="511">
        <f t="shared" si="16"/>
        <v>2258445.6428571441</v>
      </c>
      <c r="G109" s="511">
        <f t="shared" si="17"/>
        <v>2319484.7142857155</v>
      </c>
      <c r="H109" s="646">
        <f t="shared" si="10"/>
        <v>368902.6271124137</v>
      </c>
      <c r="I109" s="628">
        <f t="shared" si="18"/>
        <v>368902.6271124137</v>
      </c>
      <c r="J109" s="505">
        <f t="shared" si="11"/>
        <v>0</v>
      </c>
      <c r="K109" s="505"/>
      <c r="L109" s="513"/>
      <c r="M109" s="505">
        <f t="shared" si="12"/>
        <v>0</v>
      </c>
      <c r="N109" s="513"/>
      <c r="O109" s="505">
        <f t="shared" si="13"/>
        <v>0</v>
      </c>
      <c r="P109" s="505">
        <f t="shared" si="14"/>
        <v>0</v>
      </c>
    </row>
    <row r="110" spans="1:16" ht="12.5">
      <c r="B110" s="145" t="str">
        <f t="shared" si="9"/>
        <v/>
      </c>
      <c r="C110" s="496">
        <f>IF(D94="","-",+C109+1)</f>
        <v>2030</v>
      </c>
      <c r="D110" s="350">
        <f>IF(F109+SUM(E$100:E109)=D$93,F109,D$93-SUM(E$100:E109))</f>
        <v>2258445.6428571441</v>
      </c>
      <c r="E110" s="510">
        <f t="shared" si="15"/>
        <v>122078.14285714286</v>
      </c>
      <c r="F110" s="511">
        <f t="shared" si="16"/>
        <v>2136367.5000000014</v>
      </c>
      <c r="G110" s="511">
        <f t="shared" si="17"/>
        <v>2197406.5714285728</v>
      </c>
      <c r="H110" s="646">
        <f t="shared" si="10"/>
        <v>355911.86478318891</v>
      </c>
      <c r="I110" s="628">
        <f t="shared" si="18"/>
        <v>355911.86478318891</v>
      </c>
      <c r="J110" s="505">
        <f t="shared" si="11"/>
        <v>0</v>
      </c>
      <c r="K110" s="505"/>
      <c r="L110" s="513"/>
      <c r="M110" s="505">
        <f t="shared" si="12"/>
        <v>0</v>
      </c>
      <c r="N110" s="513"/>
      <c r="O110" s="505">
        <f t="shared" si="13"/>
        <v>0</v>
      </c>
      <c r="P110" s="505">
        <f t="shared" si="14"/>
        <v>0</v>
      </c>
    </row>
    <row r="111" spans="1:16" ht="12.5">
      <c r="B111" s="145" t="str">
        <f t="shared" si="9"/>
        <v/>
      </c>
      <c r="C111" s="496">
        <f>IF(D94="","-",+C110+1)</f>
        <v>2031</v>
      </c>
      <c r="D111" s="350">
        <f>IF(F110+SUM(E$100:E110)=D$93,F110,D$93-SUM(E$100:E110))</f>
        <v>2136367.5000000014</v>
      </c>
      <c r="E111" s="510">
        <f t="shared" si="15"/>
        <v>122078.14285714286</v>
      </c>
      <c r="F111" s="511">
        <f t="shared" si="16"/>
        <v>2014289.3571428584</v>
      </c>
      <c r="G111" s="511">
        <f t="shared" si="17"/>
        <v>2075328.42857143</v>
      </c>
      <c r="H111" s="646">
        <f t="shared" si="10"/>
        <v>342921.10245396418</v>
      </c>
      <c r="I111" s="628">
        <f t="shared" si="18"/>
        <v>342921.10245396418</v>
      </c>
      <c r="J111" s="505">
        <f t="shared" si="11"/>
        <v>0</v>
      </c>
      <c r="K111" s="505"/>
      <c r="L111" s="513"/>
      <c r="M111" s="505">
        <f t="shared" si="12"/>
        <v>0</v>
      </c>
      <c r="N111" s="513"/>
      <c r="O111" s="505">
        <f t="shared" si="13"/>
        <v>0</v>
      </c>
      <c r="P111" s="505">
        <f t="shared" si="14"/>
        <v>0</v>
      </c>
    </row>
    <row r="112" spans="1:16" ht="12.5">
      <c r="B112" s="145" t="str">
        <f t="shared" si="9"/>
        <v/>
      </c>
      <c r="C112" s="496">
        <f>IF(D94="","-",+C111+1)</f>
        <v>2032</v>
      </c>
      <c r="D112" s="350">
        <f>IF(F111+SUM(E$100:E111)=D$93,F111,D$93-SUM(E$100:E111))</f>
        <v>2014289.3571428584</v>
      </c>
      <c r="E112" s="510">
        <f t="shared" si="15"/>
        <v>122078.14285714286</v>
      </c>
      <c r="F112" s="511">
        <f t="shared" si="16"/>
        <v>1892211.2142857155</v>
      </c>
      <c r="G112" s="511">
        <f t="shared" si="17"/>
        <v>1953250.2857142868</v>
      </c>
      <c r="H112" s="646">
        <f t="shared" si="10"/>
        <v>329930.34012473933</v>
      </c>
      <c r="I112" s="628">
        <f t="shared" si="18"/>
        <v>329930.34012473933</v>
      </c>
      <c r="J112" s="505">
        <f t="shared" si="11"/>
        <v>0</v>
      </c>
      <c r="K112" s="505"/>
      <c r="L112" s="513"/>
      <c r="M112" s="505">
        <f t="shared" si="12"/>
        <v>0</v>
      </c>
      <c r="N112" s="513"/>
      <c r="O112" s="505">
        <f t="shared" si="13"/>
        <v>0</v>
      </c>
      <c r="P112" s="505">
        <f t="shared" si="14"/>
        <v>0</v>
      </c>
    </row>
    <row r="113" spans="2:16" ht="12.5">
      <c r="B113" s="145" t="str">
        <f t="shared" si="9"/>
        <v/>
      </c>
      <c r="C113" s="496">
        <f>IF(D94="","-",+C112+1)</f>
        <v>2033</v>
      </c>
      <c r="D113" s="350">
        <f>IF(F112+SUM(E$100:E112)=D$93,F112,D$93-SUM(E$100:E112))</f>
        <v>1892211.2142857155</v>
      </c>
      <c r="E113" s="510">
        <f t="shared" si="15"/>
        <v>122078.14285714286</v>
      </c>
      <c r="F113" s="511">
        <f t="shared" si="16"/>
        <v>1770133.0714285725</v>
      </c>
      <c r="G113" s="511">
        <f t="shared" si="17"/>
        <v>1831172.1428571441</v>
      </c>
      <c r="H113" s="646">
        <f t="shared" si="10"/>
        <v>316939.5777955146</v>
      </c>
      <c r="I113" s="628">
        <f t="shared" si="18"/>
        <v>316939.5777955146</v>
      </c>
      <c r="J113" s="505">
        <f t="shared" si="11"/>
        <v>0</v>
      </c>
      <c r="K113" s="505"/>
      <c r="L113" s="513"/>
      <c r="M113" s="505">
        <f t="shared" si="12"/>
        <v>0</v>
      </c>
      <c r="N113" s="513"/>
      <c r="O113" s="505">
        <f t="shared" si="13"/>
        <v>0</v>
      </c>
      <c r="P113" s="505">
        <f t="shared" si="14"/>
        <v>0</v>
      </c>
    </row>
    <row r="114" spans="2:16" ht="12.5">
      <c r="B114" s="145" t="str">
        <f t="shared" si="9"/>
        <v/>
      </c>
      <c r="C114" s="496">
        <f>IF(D94="","-",+C113+1)</f>
        <v>2034</v>
      </c>
      <c r="D114" s="350">
        <f>IF(F113+SUM(E$100:E113)=D$93,F113,D$93-SUM(E$100:E113))</f>
        <v>1770133.0714285725</v>
      </c>
      <c r="E114" s="510">
        <f t="shared" si="15"/>
        <v>122078.14285714286</v>
      </c>
      <c r="F114" s="511">
        <f t="shared" si="16"/>
        <v>1648054.9285714296</v>
      </c>
      <c r="G114" s="511">
        <f t="shared" si="17"/>
        <v>1709094.0000000009</v>
      </c>
      <c r="H114" s="646">
        <f t="shared" si="10"/>
        <v>303948.81546628982</v>
      </c>
      <c r="I114" s="628">
        <f t="shared" si="18"/>
        <v>303948.81546628982</v>
      </c>
      <c r="J114" s="505">
        <f t="shared" si="11"/>
        <v>0</v>
      </c>
      <c r="K114" s="505"/>
      <c r="L114" s="513"/>
      <c r="M114" s="505">
        <f t="shared" si="12"/>
        <v>0</v>
      </c>
      <c r="N114" s="513"/>
      <c r="O114" s="505">
        <f t="shared" si="13"/>
        <v>0</v>
      </c>
      <c r="P114" s="505">
        <f t="shared" si="14"/>
        <v>0</v>
      </c>
    </row>
    <row r="115" spans="2:16" ht="12.5">
      <c r="B115" s="145" t="str">
        <f t="shared" si="9"/>
        <v/>
      </c>
      <c r="C115" s="496">
        <f>IF(D94="","-",+C114+1)</f>
        <v>2035</v>
      </c>
      <c r="D115" s="350">
        <f>IF(F114+SUM(E$100:E114)=D$93,F114,D$93-SUM(E$100:E114))</f>
        <v>1648054.9285714296</v>
      </c>
      <c r="E115" s="510">
        <f t="shared" si="15"/>
        <v>122078.14285714286</v>
      </c>
      <c r="F115" s="511">
        <f t="shared" si="16"/>
        <v>1525976.7857142866</v>
      </c>
      <c r="G115" s="511">
        <f t="shared" si="17"/>
        <v>1587015.8571428582</v>
      </c>
      <c r="H115" s="646">
        <f t="shared" si="10"/>
        <v>290958.05313706503</v>
      </c>
      <c r="I115" s="628">
        <f t="shared" si="18"/>
        <v>290958.05313706503</v>
      </c>
      <c r="J115" s="505">
        <f t="shared" si="11"/>
        <v>0</v>
      </c>
      <c r="K115" s="505"/>
      <c r="L115" s="513"/>
      <c r="M115" s="505">
        <f t="shared" si="12"/>
        <v>0</v>
      </c>
      <c r="N115" s="513"/>
      <c r="O115" s="505">
        <f t="shared" si="13"/>
        <v>0</v>
      </c>
      <c r="P115" s="505">
        <f t="shared" si="14"/>
        <v>0</v>
      </c>
    </row>
    <row r="116" spans="2:16" ht="12.5">
      <c r="B116" s="145" t="str">
        <f t="shared" si="9"/>
        <v/>
      </c>
      <c r="C116" s="496">
        <f>IF(D94="","-",+C115+1)</f>
        <v>2036</v>
      </c>
      <c r="D116" s="350">
        <f>IF(F115+SUM(E$100:E115)=D$93,F115,D$93-SUM(E$100:E115))</f>
        <v>1525976.7857142866</v>
      </c>
      <c r="E116" s="510">
        <f t="shared" si="15"/>
        <v>122078.14285714286</v>
      </c>
      <c r="F116" s="511">
        <f t="shared" si="16"/>
        <v>1403898.6428571437</v>
      </c>
      <c r="G116" s="511">
        <f t="shared" si="17"/>
        <v>1464937.714285715</v>
      </c>
      <c r="H116" s="646">
        <f t="shared" si="10"/>
        <v>277967.29080784024</v>
      </c>
      <c r="I116" s="628">
        <f t="shared" si="18"/>
        <v>277967.29080784024</v>
      </c>
      <c r="J116" s="505">
        <f t="shared" si="11"/>
        <v>0</v>
      </c>
      <c r="K116" s="505"/>
      <c r="L116" s="513"/>
      <c r="M116" s="505">
        <f t="shared" si="12"/>
        <v>0</v>
      </c>
      <c r="N116" s="513"/>
      <c r="O116" s="505">
        <f t="shared" si="13"/>
        <v>0</v>
      </c>
      <c r="P116" s="505">
        <f t="shared" si="14"/>
        <v>0</v>
      </c>
    </row>
    <row r="117" spans="2:16" ht="12.5">
      <c r="B117" s="145" t="str">
        <f t="shared" si="9"/>
        <v/>
      </c>
      <c r="C117" s="496">
        <f>IF(D94="","-",+C116+1)</f>
        <v>2037</v>
      </c>
      <c r="D117" s="350">
        <f>IF(F116+SUM(E$100:E116)=D$93,F116,D$93-SUM(E$100:E116))</f>
        <v>1403898.6428571437</v>
      </c>
      <c r="E117" s="510">
        <f t="shared" si="15"/>
        <v>122078.14285714286</v>
      </c>
      <c r="F117" s="511">
        <f t="shared" si="16"/>
        <v>1281820.5000000007</v>
      </c>
      <c r="G117" s="511">
        <f t="shared" si="17"/>
        <v>1342859.5714285723</v>
      </c>
      <c r="H117" s="646">
        <f t="shared" si="10"/>
        <v>264976.52847861545</v>
      </c>
      <c r="I117" s="628">
        <f t="shared" si="18"/>
        <v>264976.52847861545</v>
      </c>
      <c r="J117" s="505">
        <f t="shared" si="11"/>
        <v>0</v>
      </c>
      <c r="K117" s="505"/>
      <c r="L117" s="513"/>
      <c r="M117" s="505">
        <f t="shared" si="12"/>
        <v>0</v>
      </c>
      <c r="N117" s="513"/>
      <c r="O117" s="505">
        <f t="shared" si="13"/>
        <v>0</v>
      </c>
      <c r="P117" s="505">
        <f t="shared" si="14"/>
        <v>0</v>
      </c>
    </row>
    <row r="118" spans="2:16" ht="12.5">
      <c r="B118" s="145" t="str">
        <f t="shared" si="9"/>
        <v/>
      </c>
      <c r="C118" s="496">
        <f>IF(D94="","-",+C117+1)</f>
        <v>2038</v>
      </c>
      <c r="D118" s="350">
        <f>IF(F117+SUM(E$100:E117)=D$93,F117,D$93-SUM(E$100:E117))</f>
        <v>1281820.5000000007</v>
      </c>
      <c r="E118" s="510">
        <f t="shared" si="15"/>
        <v>122078.14285714286</v>
      </c>
      <c r="F118" s="511">
        <f t="shared" si="16"/>
        <v>1159742.3571428577</v>
      </c>
      <c r="G118" s="511">
        <f t="shared" si="17"/>
        <v>1220781.4285714291</v>
      </c>
      <c r="H118" s="646">
        <f t="shared" si="10"/>
        <v>251985.76614939066</v>
      </c>
      <c r="I118" s="628">
        <f t="shared" si="18"/>
        <v>251985.76614939066</v>
      </c>
      <c r="J118" s="505">
        <f t="shared" si="11"/>
        <v>0</v>
      </c>
      <c r="K118" s="505"/>
      <c r="L118" s="513"/>
      <c r="M118" s="505">
        <f t="shared" si="12"/>
        <v>0</v>
      </c>
      <c r="N118" s="513"/>
      <c r="O118" s="505">
        <f t="shared" si="13"/>
        <v>0</v>
      </c>
      <c r="P118" s="505">
        <f t="shared" si="14"/>
        <v>0</v>
      </c>
    </row>
    <row r="119" spans="2:16" ht="12.5">
      <c r="B119" s="145" t="str">
        <f t="shared" si="9"/>
        <v/>
      </c>
      <c r="C119" s="496">
        <f>IF(D94="","-",+C118+1)</f>
        <v>2039</v>
      </c>
      <c r="D119" s="350">
        <f>IF(F118+SUM(E$100:E118)=D$93,F118,D$93-SUM(E$100:E118))</f>
        <v>1159742.3571428577</v>
      </c>
      <c r="E119" s="510">
        <f t="shared" si="15"/>
        <v>122078.14285714286</v>
      </c>
      <c r="F119" s="511">
        <f t="shared" si="16"/>
        <v>1037664.2142857149</v>
      </c>
      <c r="G119" s="511">
        <f t="shared" si="17"/>
        <v>1098703.2857142864</v>
      </c>
      <c r="H119" s="646">
        <f t="shared" si="10"/>
        <v>238995.00382016588</v>
      </c>
      <c r="I119" s="628">
        <f t="shared" si="18"/>
        <v>238995.00382016588</v>
      </c>
      <c r="J119" s="505">
        <f t="shared" si="11"/>
        <v>0</v>
      </c>
      <c r="K119" s="505"/>
      <c r="L119" s="513"/>
      <c r="M119" s="505">
        <f t="shared" si="12"/>
        <v>0</v>
      </c>
      <c r="N119" s="513"/>
      <c r="O119" s="505">
        <f t="shared" si="13"/>
        <v>0</v>
      </c>
      <c r="P119" s="505">
        <f t="shared" si="14"/>
        <v>0</v>
      </c>
    </row>
    <row r="120" spans="2:16" ht="12.5">
      <c r="B120" s="145" t="str">
        <f t="shared" si="9"/>
        <v/>
      </c>
      <c r="C120" s="496">
        <f>IF(D94="","-",+C119+1)</f>
        <v>2040</v>
      </c>
      <c r="D120" s="350">
        <f>IF(F119+SUM(E$100:E119)=D$93,F119,D$93-SUM(E$100:E119))</f>
        <v>1037664.2142857149</v>
      </c>
      <c r="E120" s="510">
        <f t="shared" si="15"/>
        <v>122078.14285714286</v>
      </c>
      <c r="F120" s="511">
        <f t="shared" si="16"/>
        <v>915586.07142857206</v>
      </c>
      <c r="G120" s="511">
        <f t="shared" si="17"/>
        <v>976625.14285714342</v>
      </c>
      <c r="H120" s="646">
        <f t="shared" si="10"/>
        <v>226004.24149094109</v>
      </c>
      <c r="I120" s="628">
        <f t="shared" si="18"/>
        <v>226004.24149094109</v>
      </c>
      <c r="J120" s="505">
        <f t="shared" si="11"/>
        <v>0</v>
      </c>
      <c r="K120" s="505"/>
      <c r="L120" s="513"/>
      <c r="M120" s="505">
        <f t="shared" si="12"/>
        <v>0</v>
      </c>
      <c r="N120" s="513"/>
      <c r="O120" s="505">
        <f t="shared" si="13"/>
        <v>0</v>
      </c>
      <c r="P120" s="505">
        <f t="shared" si="14"/>
        <v>0</v>
      </c>
    </row>
    <row r="121" spans="2:16" ht="12.5">
      <c r="B121" s="145" t="str">
        <f t="shared" si="9"/>
        <v/>
      </c>
      <c r="C121" s="496">
        <f>IF(D94="","-",+C120+1)</f>
        <v>2041</v>
      </c>
      <c r="D121" s="350">
        <f>IF(F120+SUM(E$100:E120)=D$93,F120,D$93-SUM(E$100:E120))</f>
        <v>915586.07142857206</v>
      </c>
      <c r="E121" s="510">
        <f t="shared" si="15"/>
        <v>122078.14285714286</v>
      </c>
      <c r="F121" s="511">
        <f t="shared" si="16"/>
        <v>793507.92857142922</v>
      </c>
      <c r="G121" s="511">
        <f t="shared" si="17"/>
        <v>854547.0000000007</v>
      </c>
      <c r="H121" s="646">
        <f t="shared" si="10"/>
        <v>213013.47916171636</v>
      </c>
      <c r="I121" s="628">
        <f t="shared" si="18"/>
        <v>213013.47916171636</v>
      </c>
      <c r="J121" s="505">
        <f t="shared" si="11"/>
        <v>0</v>
      </c>
      <c r="K121" s="505"/>
      <c r="L121" s="513"/>
      <c r="M121" s="505">
        <f t="shared" si="12"/>
        <v>0</v>
      </c>
      <c r="N121" s="513"/>
      <c r="O121" s="505">
        <f t="shared" si="13"/>
        <v>0</v>
      </c>
      <c r="P121" s="505">
        <f t="shared" si="14"/>
        <v>0</v>
      </c>
    </row>
    <row r="122" spans="2:16" ht="12.5">
      <c r="B122" s="145" t="str">
        <f t="shared" si="9"/>
        <v/>
      </c>
      <c r="C122" s="496">
        <f>IF(D94="","-",+C121+1)</f>
        <v>2042</v>
      </c>
      <c r="D122" s="350">
        <f>IF(F121+SUM(E$100:E121)=D$93,F121,D$93-SUM(E$100:E121))</f>
        <v>793507.92857142922</v>
      </c>
      <c r="E122" s="510">
        <f t="shared" si="15"/>
        <v>122078.14285714286</v>
      </c>
      <c r="F122" s="511">
        <f t="shared" si="16"/>
        <v>671429.78571428638</v>
      </c>
      <c r="G122" s="511">
        <f t="shared" si="17"/>
        <v>732468.85714285774</v>
      </c>
      <c r="H122" s="646">
        <f t="shared" si="10"/>
        <v>200022.71683249157</v>
      </c>
      <c r="I122" s="628">
        <f t="shared" si="18"/>
        <v>200022.71683249157</v>
      </c>
      <c r="J122" s="505">
        <f t="shared" si="11"/>
        <v>0</v>
      </c>
      <c r="K122" s="505"/>
      <c r="L122" s="513"/>
      <c r="M122" s="505">
        <f t="shared" si="12"/>
        <v>0</v>
      </c>
      <c r="N122" s="513"/>
      <c r="O122" s="505">
        <f t="shared" si="13"/>
        <v>0</v>
      </c>
      <c r="P122" s="505">
        <f t="shared" si="14"/>
        <v>0</v>
      </c>
    </row>
    <row r="123" spans="2:16" ht="12.5">
      <c r="B123" s="145" t="str">
        <f t="shared" si="9"/>
        <v/>
      </c>
      <c r="C123" s="496">
        <f>IF(D94="","-",+C122+1)</f>
        <v>2043</v>
      </c>
      <c r="D123" s="350">
        <f>IF(F122+SUM(E$100:E122)=D$93,F122,D$93-SUM(E$100:E122))</f>
        <v>671429.78571428638</v>
      </c>
      <c r="E123" s="510">
        <f t="shared" si="15"/>
        <v>122078.14285714286</v>
      </c>
      <c r="F123" s="511">
        <f t="shared" si="16"/>
        <v>549351.64285714354</v>
      </c>
      <c r="G123" s="511">
        <f t="shared" si="17"/>
        <v>610390.71428571502</v>
      </c>
      <c r="H123" s="646">
        <f t="shared" si="10"/>
        <v>187031.95450326681</v>
      </c>
      <c r="I123" s="628">
        <f t="shared" si="18"/>
        <v>187031.95450326681</v>
      </c>
      <c r="J123" s="505">
        <f t="shared" si="11"/>
        <v>0</v>
      </c>
      <c r="K123" s="505"/>
      <c r="L123" s="513"/>
      <c r="M123" s="505">
        <f t="shared" si="12"/>
        <v>0</v>
      </c>
      <c r="N123" s="513"/>
      <c r="O123" s="505">
        <f t="shared" si="13"/>
        <v>0</v>
      </c>
      <c r="P123" s="505">
        <f t="shared" si="14"/>
        <v>0</v>
      </c>
    </row>
    <row r="124" spans="2:16" ht="12.5">
      <c r="B124" s="145" t="str">
        <f t="shared" si="9"/>
        <v/>
      </c>
      <c r="C124" s="496">
        <f>IF(D94="","-",+C123+1)</f>
        <v>2044</v>
      </c>
      <c r="D124" s="350">
        <f>IF(F123+SUM(E$100:E123)=D$93,F123,D$93-SUM(E$100:E123))</f>
        <v>549351.64285714354</v>
      </c>
      <c r="E124" s="510">
        <f t="shared" si="15"/>
        <v>122078.14285714286</v>
      </c>
      <c r="F124" s="511">
        <f t="shared" si="16"/>
        <v>427273.5000000007</v>
      </c>
      <c r="G124" s="511">
        <f t="shared" si="17"/>
        <v>488312.57142857212</v>
      </c>
      <c r="H124" s="646">
        <f t="shared" si="10"/>
        <v>174041.19217404202</v>
      </c>
      <c r="I124" s="628">
        <f t="shared" si="18"/>
        <v>174041.19217404202</v>
      </c>
      <c r="J124" s="505">
        <f t="shared" si="11"/>
        <v>0</v>
      </c>
      <c r="K124" s="505"/>
      <c r="L124" s="513"/>
      <c r="M124" s="505">
        <f t="shared" si="12"/>
        <v>0</v>
      </c>
      <c r="N124" s="513"/>
      <c r="O124" s="505">
        <f t="shared" si="13"/>
        <v>0</v>
      </c>
      <c r="P124" s="505">
        <f t="shared" si="14"/>
        <v>0</v>
      </c>
    </row>
    <row r="125" spans="2:16" ht="12.5">
      <c r="B125" s="145" t="str">
        <f t="shared" si="9"/>
        <v/>
      </c>
      <c r="C125" s="496">
        <f>IF(D94="","-",+C124+1)</f>
        <v>2045</v>
      </c>
      <c r="D125" s="350">
        <f>IF(F124+SUM(E$100:E124)=D$93,F124,D$93-SUM(E$100:E124))</f>
        <v>427273.5000000007</v>
      </c>
      <c r="E125" s="510">
        <f t="shared" si="15"/>
        <v>122078.14285714286</v>
      </c>
      <c r="F125" s="511">
        <f t="shared" si="16"/>
        <v>305195.35714285786</v>
      </c>
      <c r="G125" s="511">
        <f t="shared" si="17"/>
        <v>366234.42857142928</v>
      </c>
      <c r="H125" s="646">
        <f t="shared" si="10"/>
        <v>161050.42984481726</v>
      </c>
      <c r="I125" s="628">
        <f t="shared" si="18"/>
        <v>161050.42984481726</v>
      </c>
      <c r="J125" s="505">
        <f t="shared" si="11"/>
        <v>0</v>
      </c>
      <c r="K125" s="505"/>
      <c r="L125" s="513"/>
      <c r="M125" s="505">
        <f t="shared" si="12"/>
        <v>0</v>
      </c>
      <c r="N125" s="513"/>
      <c r="O125" s="505">
        <f t="shared" si="13"/>
        <v>0</v>
      </c>
      <c r="P125" s="505">
        <f t="shared" si="14"/>
        <v>0</v>
      </c>
    </row>
    <row r="126" spans="2:16" ht="12.5">
      <c r="B126" s="145" t="str">
        <f t="shared" si="9"/>
        <v/>
      </c>
      <c r="C126" s="496">
        <f>IF(D94="","-",+C125+1)</f>
        <v>2046</v>
      </c>
      <c r="D126" s="350">
        <f>IF(F125+SUM(E$100:E125)=D$93,F125,D$93-SUM(E$100:E125))</f>
        <v>305195.35714285786</v>
      </c>
      <c r="E126" s="510">
        <f t="shared" si="15"/>
        <v>122078.14285714286</v>
      </c>
      <c r="F126" s="511">
        <f t="shared" si="16"/>
        <v>183117.21428571502</v>
      </c>
      <c r="G126" s="511">
        <f t="shared" si="17"/>
        <v>244156.28571428644</v>
      </c>
      <c r="H126" s="646">
        <f t="shared" si="10"/>
        <v>148059.66751559247</v>
      </c>
      <c r="I126" s="628">
        <f t="shared" si="18"/>
        <v>148059.66751559247</v>
      </c>
      <c r="J126" s="505">
        <f t="shared" si="11"/>
        <v>0</v>
      </c>
      <c r="K126" s="505"/>
      <c r="L126" s="513"/>
      <c r="M126" s="505">
        <f t="shared" si="12"/>
        <v>0</v>
      </c>
      <c r="N126" s="513"/>
      <c r="O126" s="505">
        <f t="shared" si="13"/>
        <v>0</v>
      </c>
      <c r="P126" s="505">
        <f t="shared" si="14"/>
        <v>0</v>
      </c>
    </row>
    <row r="127" spans="2:16" ht="12.5">
      <c r="B127" s="145" t="str">
        <f t="shared" si="9"/>
        <v/>
      </c>
      <c r="C127" s="496">
        <f>IF(D94="","-",+C126+1)</f>
        <v>2047</v>
      </c>
      <c r="D127" s="350">
        <f>IF(F126+SUM(E$100:E126)=D$93,F126,D$93-SUM(E$100:E126))</f>
        <v>183117.21428571502</v>
      </c>
      <c r="E127" s="510">
        <f t="shared" si="15"/>
        <v>122078.14285714286</v>
      </c>
      <c r="F127" s="511">
        <f t="shared" si="16"/>
        <v>61039.071428572162</v>
      </c>
      <c r="G127" s="511">
        <f t="shared" si="17"/>
        <v>122078.1428571436</v>
      </c>
      <c r="H127" s="646">
        <f t="shared" si="10"/>
        <v>135068.90518636772</v>
      </c>
      <c r="I127" s="628">
        <f t="shared" si="18"/>
        <v>135068.90518636772</v>
      </c>
      <c r="J127" s="505">
        <f t="shared" si="11"/>
        <v>0</v>
      </c>
      <c r="K127" s="505"/>
      <c r="L127" s="513"/>
      <c r="M127" s="505">
        <f t="shared" si="12"/>
        <v>0</v>
      </c>
      <c r="N127" s="513"/>
      <c r="O127" s="505">
        <f t="shared" si="13"/>
        <v>0</v>
      </c>
      <c r="P127" s="505">
        <f t="shared" si="14"/>
        <v>0</v>
      </c>
    </row>
    <row r="128" spans="2:16" ht="12.5">
      <c r="B128" s="145" t="str">
        <f t="shared" si="9"/>
        <v/>
      </c>
      <c r="C128" s="496">
        <f>IF(D94="","-",+C127+1)</f>
        <v>2048</v>
      </c>
      <c r="D128" s="350">
        <f>IF(F127+SUM(E$100:E127)=D$93,F127,D$93-SUM(E$100:E127))</f>
        <v>61039.071428572162</v>
      </c>
      <c r="E128" s="510">
        <f t="shared" si="15"/>
        <v>61039.071428572162</v>
      </c>
      <c r="F128" s="511">
        <f t="shared" si="16"/>
        <v>0</v>
      </c>
      <c r="G128" s="511">
        <f t="shared" si="17"/>
        <v>30519.535714286081</v>
      </c>
      <c r="H128" s="646">
        <f t="shared" si="10"/>
        <v>64286.762010878396</v>
      </c>
      <c r="I128" s="628">
        <f t="shared" si="18"/>
        <v>64286.762010878396</v>
      </c>
      <c r="J128" s="505">
        <f t="shared" si="11"/>
        <v>0</v>
      </c>
      <c r="K128" s="505"/>
      <c r="L128" s="513"/>
      <c r="M128" s="505">
        <f t="shared" si="12"/>
        <v>0</v>
      </c>
      <c r="N128" s="513"/>
      <c r="O128" s="505">
        <f t="shared" si="13"/>
        <v>0</v>
      </c>
      <c r="P128" s="505">
        <f t="shared" si="14"/>
        <v>0</v>
      </c>
    </row>
    <row r="129" spans="2:16" ht="12.5">
      <c r="B129" s="145" t="str">
        <f t="shared" si="9"/>
        <v/>
      </c>
      <c r="C129" s="496">
        <f>IF(D94="","-",+C128+1)</f>
        <v>2049</v>
      </c>
      <c r="D129" s="350">
        <f>IF(F128+SUM(E$100:E128)=D$93,F128,D$93-SUM(E$100:E128))</f>
        <v>0</v>
      </c>
      <c r="E129" s="510">
        <f t="shared" si="15"/>
        <v>0</v>
      </c>
      <c r="F129" s="511">
        <f t="shared" si="16"/>
        <v>0</v>
      </c>
      <c r="G129" s="511">
        <f t="shared" si="17"/>
        <v>0</v>
      </c>
      <c r="H129" s="646">
        <f t="shared" si="10"/>
        <v>0</v>
      </c>
      <c r="I129" s="628">
        <f t="shared" si="18"/>
        <v>0</v>
      </c>
      <c r="J129" s="505">
        <f t="shared" si="11"/>
        <v>0</v>
      </c>
      <c r="K129" s="505"/>
      <c r="L129" s="513"/>
      <c r="M129" s="505">
        <f t="shared" si="12"/>
        <v>0</v>
      </c>
      <c r="N129" s="513"/>
      <c r="O129" s="505">
        <f t="shared" si="13"/>
        <v>0</v>
      </c>
      <c r="P129" s="505">
        <f t="shared" si="14"/>
        <v>0</v>
      </c>
    </row>
    <row r="130" spans="2:16" ht="12.5">
      <c r="B130" s="145" t="str">
        <f t="shared" si="9"/>
        <v/>
      </c>
      <c r="C130" s="496">
        <f>IF(D94="","-",+C129+1)</f>
        <v>2050</v>
      </c>
      <c r="D130" s="350">
        <f>IF(F129+SUM(E$100:E129)=D$93,F129,D$93-SUM(E$100:E129))</f>
        <v>0</v>
      </c>
      <c r="E130" s="510">
        <f t="shared" si="15"/>
        <v>0</v>
      </c>
      <c r="F130" s="511">
        <f t="shared" si="16"/>
        <v>0</v>
      </c>
      <c r="G130" s="511">
        <f t="shared" si="17"/>
        <v>0</v>
      </c>
      <c r="H130" s="646">
        <f t="shared" si="10"/>
        <v>0</v>
      </c>
      <c r="I130" s="628">
        <f t="shared" si="18"/>
        <v>0</v>
      </c>
      <c r="J130" s="505">
        <f t="shared" si="11"/>
        <v>0</v>
      </c>
      <c r="K130" s="505"/>
      <c r="L130" s="513"/>
      <c r="M130" s="505">
        <f t="shared" si="12"/>
        <v>0</v>
      </c>
      <c r="N130" s="513"/>
      <c r="O130" s="505">
        <f t="shared" si="13"/>
        <v>0</v>
      </c>
      <c r="P130" s="505">
        <f t="shared" si="14"/>
        <v>0</v>
      </c>
    </row>
    <row r="131" spans="2:16" ht="12.5">
      <c r="B131" s="145" t="str">
        <f t="shared" si="9"/>
        <v/>
      </c>
      <c r="C131" s="496">
        <f>IF(D94="","-",+C130+1)</f>
        <v>2051</v>
      </c>
      <c r="D131" s="350">
        <f>IF(F130+SUM(E$100:E130)=D$93,F130,D$93-SUM(E$100:E130))</f>
        <v>0</v>
      </c>
      <c r="E131" s="510">
        <f t="shared" si="15"/>
        <v>0</v>
      </c>
      <c r="F131" s="511">
        <f t="shared" si="16"/>
        <v>0</v>
      </c>
      <c r="G131" s="511">
        <f t="shared" si="17"/>
        <v>0</v>
      </c>
      <c r="H131" s="646">
        <f t="shared" si="10"/>
        <v>0</v>
      </c>
      <c r="I131" s="628">
        <f t="shared" si="18"/>
        <v>0</v>
      </c>
      <c r="J131" s="505">
        <f t="shared" si="11"/>
        <v>0</v>
      </c>
      <c r="K131" s="505"/>
      <c r="L131" s="513"/>
      <c r="M131" s="505">
        <f t="shared" si="12"/>
        <v>0</v>
      </c>
      <c r="N131" s="513"/>
      <c r="O131" s="505">
        <f t="shared" si="13"/>
        <v>0</v>
      </c>
      <c r="P131" s="505">
        <f t="shared" si="14"/>
        <v>0</v>
      </c>
    </row>
    <row r="132" spans="2:16" ht="12.5">
      <c r="B132" s="145" t="str">
        <f t="shared" si="9"/>
        <v/>
      </c>
      <c r="C132" s="496">
        <f>IF(D94="","-",+C131+1)</f>
        <v>2052</v>
      </c>
      <c r="D132" s="350">
        <f>IF(F131+SUM(E$100:E131)=D$93,F131,D$93-SUM(E$100:E131))</f>
        <v>0</v>
      </c>
      <c r="E132" s="510">
        <f t="shared" si="15"/>
        <v>0</v>
      </c>
      <c r="F132" s="511">
        <f t="shared" si="16"/>
        <v>0</v>
      </c>
      <c r="G132" s="511">
        <f t="shared" si="17"/>
        <v>0</v>
      </c>
      <c r="H132" s="646">
        <f t="shared" ref="H132:H155" si="19">(D132+F132)/2*J$95+E132</f>
        <v>0</v>
      </c>
      <c r="I132" s="628">
        <f t="shared" si="18"/>
        <v>0</v>
      </c>
      <c r="J132" s="505">
        <f t="shared" ref="J132:J155" si="20">+I542-H542</f>
        <v>0</v>
      </c>
      <c r="K132" s="505"/>
      <c r="L132" s="513"/>
      <c r="M132" s="505">
        <f t="shared" ref="M132:M155" si="21">IF(L542&lt;&gt;0,+H542-L542,0)</f>
        <v>0</v>
      </c>
      <c r="N132" s="513"/>
      <c r="O132" s="505">
        <f t="shared" ref="O132:O155" si="22">IF(N542&lt;&gt;0,+I542-N542,0)</f>
        <v>0</v>
      </c>
      <c r="P132" s="505">
        <f t="shared" ref="P132:P155" si="23">+O542-M542</f>
        <v>0</v>
      </c>
    </row>
    <row r="133" spans="2:16" ht="12.5">
      <c r="B133" s="145" t="str">
        <f t="shared" si="9"/>
        <v/>
      </c>
      <c r="C133" s="496">
        <f>IF(D94="","-",+C132+1)</f>
        <v>2053</v>
      </c>
      <c r="D133" s="350">
        <f>IF(F132+SUM(E$100:E132)=D$93,F132,D$93-SUM(E$100:E132))</f>
        <v>0</v>
      </c>
      <c r="E133" s="510">
        <f t="shared" si="15"/>
        <v>0</v>
      </c>
      <c r="F133" s="511">
        <f t="shared" si="16"/>
        <v>0</v>
      </c>
      <c r="G133" s="511">
        <f t="shared" si="17"/>
        <v>0</v>
      </c>
      <c r="H133" s="646">
        <f t="shared" si="19"/>
        <v>0</v>
      </c>
      <c r="I133" s="628">
        <f t="shared" si="18"/>
        <v>0</v>
      </c>
      <c r="J133" s="505">
        <f t="shared" si="20"/>
        <v>0</v>
      </c>
      <c r="K133" s="505"/>
      <c r="L133" s="513"/>
      <c r="M133" s="505">
        <f t="shared" si="21"/>
        <v>0</v>
      </c>
      <c r="N133" s="513"/>
      <c r="O133" s="505">
        <f t="shared" si="22"/>
        <v>0</v>
      </c>
      <c r="P133" s="505">
        <f t="shared" si="23"/>
        <v>0</v>
      </c>
    </row>
    <row r="134" spans="2:16" ht="12.5">
      <c r="B134" s="145" t="str">
        <f t="shared" si="9"/>
        <v/>
      </c>
      <c r="C134" s="496">
        <f>IF(D94="","-",+C133+1)</f>
        <v>2054</v>
      </c>
      <c r="D134" s="350">
        <f>IF(F133+SUM(E$100:E133)=D$93,F133,D$93-SUM(E$100:E133))</f>
        <v>0</v>
      </c>
      <c r="E134" s="510">
        <f t="shared" si="15"/>
        <v>0</v>
      </c>
      <c r="F134" s="511">
        <f t="shared" si="16"/>
        <v>0</v>
      </c>
      <c r="G134" s="511">
        <f t="shared" si="17"/>
        <v>0</v>
      </c>
      <c r="H134" s="646">
        <f t="shared" si="19"/>
        <v>0</v>
      </c>
      <c r="I134" s="628">
        <f t="shared" si="18"/>
        <v>0</v>
      </c>
      <c r="J134" s="505">
        <f t="shared" si="20"/>
        <v>0</v>
      </c>
      <c r="K134" s="505"/>
      <c r="L134" s="513"/>
      <c r="M134" s="505">
        <f t="shared" si="21"/>
        <v>0</v>
      </c>
      <c r="N134" s="513"/>
      <c r="O134" s="505">
        <f t="shared" si="22"/>
        <v>0</v>
      </c>
      <c r="P134" s="505">
        <f t="shared" si="23"/>
        <v>0</v>
      </c>
    </row>
    <row r="135" spans="2:16" ht="12.5">
      <c r="B135" s="145" t="str">
        <f t="shared" si="9"/>
        <v/>
      </c>
      <c r="C135" s="496">
        <f>IF(D94="","-",+C134+1)</f>
        <v>2055</v>
      </c>
      <c r="D135" s="350">
        <f>IF(F134+SUM(E$100:E134)=D$93,F134,D$93-SUM(E$100:E134))</f>
        <v>0</v>
      </c>
      <c r="E135" s="510">
        <f t="shared" si="15"/>
        <v>0</v>
      </c>
      <c r="F135" s="511">
        <f t="shared" si="16"/>
        <v>0</v>
      </c>
      <c r="G135" s="511">
        <f t="shared" si="17"/>
        <v>0</v>
      </c>
      <c r="H135" s="646">
        <f t="shared" si="19"/>
        <v>0</v>
      </c>
      <c r="I135" s="628">
        <f t="shared" si="18"/>
        <v>0</v>
      </c>
      <c r="J135" s="505">
        <f t="shared" si="20"/>
        <v>0</v>
      </c>
      <c r="K135" s="505"/>
      <c r="L135" s="513"/>
      <c r="M135" s="505">
        <f t="shared" si="21"/>
        <v>0</v>
      </c>
      <c r="N135" s="513"/>
      <c r="O135" s="505">
        <f t="shared" si="22"/>
        <v>0</v>
      </c>
      <c r="P135" s="505">
        <f t="shared" si="23"/>
        <v>0</v>
      </c>
    </row>
    <row r="136" spans="2:16" ht="12.5">
      <c r="B136" s="145" t="str">
        <f t="shared" si="9"/>
        <v/>
      </c>
      <c r="C136" s="496">
        <f>IF(D94="","-",+C135+1)</f>
        <v>2056</v>
      </c>
      <c r="D136" s="350">
        <f>IF(F135+SUM(E$100:E135)=D$93,F135,D$93-SUM(E$100:E135))</f>
        <v>0</v>
      </c>
      <c r="E136" s="510">
        <f t="shared" si="15"/>
        <v>0</v>
      </c>
      <c r="F136" s="511">
        <f t="shared" si="16"/>
        <v>0</v>
      </c>
      <c r="G136" s="511">
        <f t="shared" si="17"/>
        <v>0</v>
      </c>
      <c r="H136" s="646">
        <f t="shared" si="19"/>
        <v>0</v>
      </c>
      <c r="I136" s="628">
        <f t="shared" si="18"/>
        <v>0</v>
      </c>
      <c r="J136" s="505">
        <f t="shared" si="20"/>
        <v>0</v>
      </c>
      <c r="K136" s="505"/>
      <c r="L136" s="513"/>
      <c r="M136" s="505">
        <f t="shared" si="21"/>
        <v>0</v>
      </c>
      <c r="N136" s="513"/>
      <c r="O136" s="505">
        <f t="shared" si="22"/>
        <v>0</v>
      </c>
      <c r="P136" s="505">
        <f t="shared" si="23"/>
        <v>0</v>
      </c>
    </row>
    <row r="137" spans="2:16" ht="12.5">
      <c r="B137" s="145" t="str">
        <f t="shared" si="9"/>
        <v/>
      </c>
      <c r="C137" s="496">
        <f>IF(D94="","-",+C136+1)</f>
        <v>2057</v>
      </c>
      <c r="D137" s="350">
        <f>IF(F136+SUM(E$100:E136)=D$93,F136,D$93-SUM(E$100:E136))</f>
        <v>0</v>
      </c>
      <c r="E137" s="510">
        <f t="shared" si="15"/>
        <v>0</v>
      </c>
      <c r="F137" s="511">
        <f t="shared" si="16"/>
        <v>0</v>
      </c>
      <c r="G137" s="511">
        <f t="shared" si="17"/>
        <v>0</v>
      </c>
      <c r="H137" s="646">
        <f t="shared" si="19"/>
        <v>0</v>
      </c>
      <c r="I137" s="628">
        <f t="shared" si="18"/>
        <v>0</v>
      </c>
      <c r="J137" s="505">
        <f t="shared" si="20"/>
        <v>0</v>
      </c>
      <c r="K137" s="505"/>
      <c r="L137" s="513"/>
      <c r="M137" s="505">
        <f t="shared" si="21"/>
        <v>0</v>
      </c>
      <c r="N137" s="513"/>
      <c r="O137" s="505">
        <f t="shared" si="22"/>
        <v>0</v>
      </c>
      <c r="P137" s="505">
        <f t="shared" si="23"/>
        <v>0</v>
      </c>
    </row>
    <row r="138" spans="2:16" ht="12.5">
      <c r="B138" s="145" t="str">
        <f t="shared" si="9"/>
        <v/>
      </c>
      <c r="C138" s="496">
        <f>IF(D94="","-",+C137+1)</f>
        <v>2058</v>
      </c>
      <c r="D138" s="350">
        <f>IF(F137+SUM(E$100:E137)=D$93,F137,D$93-SUM(E$100:E137))</f>
        <v>0</v>
      </c>
      <c r="E138" s="510">
        <f t="shared" si="15"/>
        <v>0</v>
      </c>
      <c r="F138" s="511">
        <f t="shared" si="16"/>
        <v>0</v>
      </c>
      <c r="G138" s="511">
        <f t="shared" si="17"/>
        <v>0</v>
      </c>
      <c r="H138" s="646">
        <f t="shared" si="19"/>
        <v>0</v>
      </c>
      <c r="I138" s="628">
        <f t="shared" si="18"/>
        <v>0</v>
      </c>
      <c r="J138" s="505">
        <f t="shared" si="20"/>
        <v>0</v>
      </c>
      <c r="K138" s="505"/>
      <c r="L138" s="513"/>
      <c r="M138" s="505">
        <f t="shared" si="21"/>
        <v>0</v>
      </c>
      <c r="N138" s="513"/>
      <c r="O138" s="505">
        <f t="shared" si="22"/>
        <v>0</v>
      </c>
      <c r="P138" s="505">
        <f t="shared" si="23"/>
        <v>0</v>
      </c>
    </row>
    <row r="139" spans="2:16" ht="12.5">
      <c r="B139" s="145" t="str">
        <f t="shared" si="9"/>
        <v/>
      </c>
      <c r="C139" s="496">
        <f>IF(D94="","-",+C138+1)</f>
        <v>2059</v>
      </c>
      <c r="D139" s="350">
        <f>IF(F138+SUM(E$100:E138)=D$93,F138,D$93-SUM(E$100:E138))</f>
        <v>0</v>
      </c>
      <c r="E139" s="510">
        <f t="shared" si="15"/>
        <v>0</v>
      </c>
      <c r="F139" s="511">
        <f t="shared" si="16"/>
        <v>0</v>
      </c>
      <c r="G139" s="511">
        <f t="shared" si="17"/>
        <v>0</v>
      </c>
      <c r="H139" s="646">
        <f t="shared" si="19"/>
        <v>0</v>
      </c>
      <c r="I139" s="628">
        <f t="shared" si="18"/>
        <v>0</v>
      </c>
      <c r="J139" s="505">
        <f t="shared" si="20"/>
        <v>0</v>
      </c>
      <c r="K139" s="505"/>
      <c r="L139" s="513"/>
      <c r="M139" s="505">
        <f t="shared" si="21"/>
        <v>0</v>
      </c>
      <c r="N139" s="513"/>
      <c r="O139" s="505">
        <f t="shared" si="22"/>
        <v>0</v>
      </c>
      <c r="P139" s="505">
        <f t="shared" si="23"/>
        <v>0</v>
      </c>
    </row>
    <row r="140" spans="2:16" ht="12.5">
      <c r="B140" s="145" t="str">
        <f t="shared" si="9"/>
        <v/>
      </c>
      <c r="C140" s="496">
        <f>IF(D94="","-",+C139+1)</f>
        <v>2060</v>
      </c>
      <c r="D140" s="350">
        <f>IF(F139+SUM(E$100:E139)=D$93,F139,D$93-SUM(E$100:E139))</f>
        <v>0</v>
      </c>
      <c r="E140" s="510">
        <f t="shared" si="15"/>
        <v>0</v>
      </c>
      <c r="F140" s="511">
        <f t="shared" si="16"/>
        <v>0</v>
      </c>
      <c r="G140" s="511">
        <f t="shared" si="17"/>
        <v>0</v>
      </c>
      <c r="H140" s="646">
        <f t="shared" si="19"/>
        <v>0</v>
      </c>
      <c r="I140" s="628">
        <f t="shared" si="18"/>
        <v>0</v>
      </c>
      <c r="J140" s="505">
        <f t="shared" si="20"/>
        <v>0</v>
      </c>
      <c r="K140" s="505"/>
      <c r="L140" s="513"/>
      <c r="M140" s="505">
        <f t="shared" si="21"/>
        <v>0</v>
      </c>
      <c r="N140" s="513"/>
      <c r="O140" s="505">
        <f t="shared" si="22"/>
        <v>0</v>
      </c>
      <c r="P140" s="505">
        <f t="shared" si="23"/>
        <v>0</v>
      </c>
    </row>
    <row r="141" spans="2:16" ht="12.5">
      <c r="B141" s="145" t="str">
        <f t="shared" si="9"/>
        <v/>
      </c>
      <c r="C141" s="496">
        <f>IF(D94="","-",+C140+1)</f>
        <v>2061</v>
      </c>
      <c r="D141" s="350">
        <f>IF(F140+SUM(E$100:E140)=D$93,F140,D$93-SUM(E$100:E140))</f>
        <v>0</v>
      </c>
      <c r="E141" s="510">
        <f t="shared" si="15"/>
        <v>0</v>
      </c>
      <c r="F141" s="511">
        <f t="shared" si="16"/>
        <v>0</v>
      </c>
      <c r="G141" s="511">
        <f t="shared" si="17"/>
        <v>0</v>
      </c>
      <c r="H141" s="646">
        <f t="shared" si="19"/>
        <v>0</v>
      </c>
      <c r="I141" s="628">
        <f t="shared" si="18"/>
        <v>0</v>
      </c>
      <c r="J141" s="505">
        <f t="shared" si="20"/>
        <v>0</v>
      </c>
      <c r="K141" s="505"/>
      <c r="L141" s="513"/>
      <c r="M141" s="505">
        <f t="shared" si="21"/>
        <v>0</v>
      </c>
      <c r="N141" s="513"/>
      <c r="O141" s="505">
        <f t="shared" si="22"/>
        <v>0</v>
      </c>
      <c r="P141" s="505">
        <f t="shared" si="23"/>
        <v>0</v>
      </c>
    </row>
    <row r="142" spans="2:16" ht="12.5">
      <c r="B142" s="145" t="str">
        <f t="shared" si="9"/>
        <v/>
      </c>
      <c r="C142" s="496">
        <f>IF(D94="","-",+C141+1)</f>
        <v>2062</v>
      </c>
      <c r="D142" s="350">
        <f>IF(F141+SUM(E$100:E141)=D$93,F141,D$93-SUM(E$100:E141))</f>
        <v>0</v>
      </c>
      <c r="E142" s="510">
        <f t="shared" si="15"/>
        <v>0</v>
      </c>
      <c r="F142" s="511">
        <f t="shared" si="16"/>
        <v>0</v>
      </c>
      <c r="G142" s="511">
        <f t="shared" si="17"/>
        <v>0</v>
      </c>
      <c r="H142" s="646">
        <f t="shared" si="19"/>
        <v>0</v>
      </c>
      <c r="I142" s="628">
        <f t="shared" si="18"/>
        <v>0</v>
      </c>
      <c r="J142" s="505">
        <f t="shared" si="20"/>
        <v>0</v>
      </c>
      <c r="K142" s="505"/>
      <c r="L142" s="513"/>
      <c r="M142" s="505">
        <f t="shared" si="21"/>
        <v>0</v>
      </c>
      <c r="N142" s="513"/>
      <c r="O142" s="505">
        <f t="shared" si="22"/>
        <v>0</v>
      </c>
      <c r="P142" s="505">
        <f t="shared" si="23"/>
        <v>0</v>
      </c>
    </row>
    <row r="143" spans="2:16" ht="12.5">
      <c r="B143" s="145" t="str">
        <f t="shared" si="9"/>
        <v/>
      </c>
      <c r="C143" s="496">
        <f>IF(D94="","-",+C142+1)</f>
        <v>2063</v>
      </c>
      <c r="D143" s="350">
        <f>IF(F142+SUM(E$100:E142)=D$93,F142,D$93-SUM(E$100:E142))</f>
        <v>0</v>
      </c>
      <c r="E143" s="510">
        <f t="shared" si="15"/>
        <v>0</v>
      </c>
      <c r="F143" s="511">
        <f t="shared" si="16"/>
        <v>0</v>
      </c>
      <c r="G143" s="511">
        <f t="shared" si="17"/>
        <v>0</v>
      </c>
      <c r="H143" s="646">
        <f t="shared" si="19"/>
        <v>0</v>
      </c>
      <c r="I143" s="628">
        <f t="shared" si="18"/>
        <v>0</v>
      </c>
      <c r="J143" s="505">
        <f t="shared" si="20"/>
        <v>0</v>
      </c>
      <c r="K143" s="505"/>
      <c r="L143" s="513"/>
      <c r="M143" s="505">
        <f t="shared" si="21"/>
        <v>0</v>
      </c>
      <c r="N143" s="513"/>
      <c r="O143" s="505">
        <f t="shared" si="22"/>
        <v>0</v>
      </c>
      <c r="P143" s="505">
        <f t="shared" si="23"/>
        <v>0</v>
      </c>
    </row>
    <row r="144" spans="2:16" ht="12.5">
      <c r="B144" s="145" t="str">
        <f t="shared" si="9"/>
        <v/>
      </c>
      <c r="C144" s="496">
        <f>IF(D94="","-",+C143+1)</f>
        <v>2064</v>
      </c>
      <c r="D144" s="350">
        <f>IF(F143+SUM(E$100:E143)=D$93,F143,D$93-SUM(E$100:E143))</f>
        <v>0</v>
      </c>
      <c r="E144" s="510">
        <f t="shared" si="15"/>
        <v>0</v>
      </c>
      <c r="F144" s="511">
        <f t="shared" si="16"/>
        <v>0</v>
      </c>
      <c r="G144" s="511">
        <f t="shared" si="17"/>
        <v>0</v>
      </c>
      <c r="H144" s="646">
        <f t="shared" si="19"/>
        <v>0</v>
      </c>
      <c r="I144" s="628">
        <f t="shared" si="18"/>
        <v>0</v>
      </c>
      <c r="J144" s="505">
        <f t="shared" si="20"/>
        <v>0</v>
      </c>
      <c r="K144" s="505"/>
      <c r="L144" s="513"/>
      <c r="M144" s="505">
        <f t="shared" si="21"/>
        <v>0</v>
      </c>
      <c r="N144" s="513"/>
      <c r="O144" s="505">
        <f t="shared" si="22"/>
        <v>0</v>
      </c>
      <c r="P144" s="505">
        <f t="shared" si="23"/>
        <v>0</v>
      </c>
    </row>
    <row r="145" spans="2:16" ht="12.5">
      <c r="B145" s="145" t="str">
        <f t="shared" si="9"/>
        <v/>
      </c>
      <c r="C145" s="496">
        <f>IF(D94="","-",+C144+1)</f>
        <v>2065</v>
      </c>
      <c r="D145" s="350">
        <f>IF(F144+SUM(E$100:E144)=D$93,F144,D$93-SUM(E$100:E144))</f>
        <v>0</v>
      </c>
      <c r="E145" s="510">
        <f t="shared" si="15"/>
        <v>0</v>
      </c>
      <c r="F145" s="511">
        <f t="shared" si="16"/>
        <v>0</v>
      </c>
      <c r="G145" s="511">
        <f t="shared" si="17"/>
        <v>0</v>
      </c>
      <c r="H145" s="646">
        <f t="shared" si="19"/>
        <v>0</v>
      </c>
      <c r="I145" s="628">
        <f t="shared" si="18"/>
        <v>0</v>
      </c>
      <c r="J145" s="505">
        <f t="shared" si="20"/>
        <v>0</v>
      </c>
      <c r="K145" s="505"/>
      <c r="L145" s="513"/>
      <c r="M145" s="505">
        <f t="shared" si="21"/>
        <v>0</v>
      </c>
      <c r="N145" s="513"/>
      <c r="O145" s="505">
        <f t="shared" si="22"/>
        <v>0</v>
      </c>
      <c r="P145" s="505">
        <f t="shared" si="23"/>
        <v>0</v>
      </c>
    </row>
    <row r="146" spans="2:16" ht="12.5">
      <c r="B146" s="145" t="str">
        <f t="shared" si="9"/>
        <v/>
      </c>
      <c r="C146" s="496">
        <f>IF(D94="","-",+C145+1)</f>
        <v>2066</v>
      </c>
      <c r="D146" s="350">
        <f>IF(F145+SUM(E$100:E145)=D$93,F145,D$93-SUM(E$100:E145))</f>
        <v>0</v>
      </c>
      <c r="E146" s="510">
        <f t="shared" si="15"/>
        <v>0</v>
      </c>
      <c r="F146" s="511">
        <f t="shared" si="16"/>
        <v>0</v>
      </c>
      <c r="G146" s="511">
        <f t="shared" si="17"/>
        <v>0</v>
      </c>
      <c r="H146" s="646">
        <f t="shared" si="19"/>
        <v>0</v>
      </c>
      <c r="I146" s="628">
        <f t="shared" si="18"/>
        <v>0</v>
      </c>
      <c r="J146" s="505">
        <f t="shared" si="20"/>
        <v>0</v>
      </c>
      <c r="K146" s="505"/>
      <c r="L146" s="513"/>
      <c r="M146" s="505">
        <f t="shared" si="21"/>
        <v>0</v>
      </c>
      <c r="N146" s="513"/>
      <c r="O146" s="505">
        <f t="shared" si="22"/>
        <v>0</v>
      </c>
      <c r="P146" s="505">
        <f t="shared" si="23"/>
        <v>0</v>
      </c>
    </row>
    <row r="147" spans="2:16" ht="12.5">
      <c r="B147" s="145" t="str">
        <f t="shared" si="9"/>
        <v/>
      </c>
      <c r="C147" s="496">
        <f>IF(D94="","-",+C146+1)</f>
        <v>2067</v>
      </c>
      <c r="D147" s="350">
        <f>IF(F146+SUM(E$100:E146)=D$93,F146,D$93-SUM(E$100:E146))</f>
        <v>0</v>
      </c>
      <c r="E147" s="510">
        <f t="shared" si="15"/>
        <v>0</v>
      </c>
      <c r="F147" s="511">
        <f t="shared" si="16"/>
        <v>0</v>
      </c>
      <c r="G147" s="511">
        <f t="shared" si="17"/>
        <v>0</v>
      </c>
      <c r="H147" s="646">
        <f t="shared" si="19"/>
        <v>0</v>
      </c>
      <c r="I147" s="628">
        <f t="shared" si="18"/>
        <v>0</v>
      </c>
      <c r="J147" s="505">
        <f t="shared" si="20"/>
        <v>0</v>
      </c>
      <c r="K147" s="505"/>
      <c r="L147" s="513"/>
      <c r="M147" s="505">
        <f t="shared" si="21"/>
        <v>0</v>
      </c>
      <c r="N147" s="513"/>
      <c r="O147" s="505">
        <f t="shared" si="22"/>
        <v>0</v>
      </c>
      <c r="P147" s="505">
        <f t="shared" si="23"/>
        <v>0</v>
      </c>
    </row>
    <row r="148" spans="2:16" ht="12.5">
      <c r="B148" s="145" t="str">
        <f t="shared" si="9"/>
        <v/>
      </c>
      <c r="C148" s="496">
        <f>IF(D94="","-",+C147+1)</f>
        <v>2068</v>
      </c>
      <c r="D148" s="350">
        <f>IF(F147+SUM(E$100:E147)=D$93,F147,D$93-SUM(E$100:E147))</f>
        <v>0</v>
      </c>
      <c r="E148" s="510">
        <f t="shared" si="15"/>
        <v>0</v>
      </c>
      <c r="F148" s="511">
        <f t="shared" si="16"/>
        <v>0</v>
      </c>
      <c r="G148" s="511">
        <f t="shared" si="17"/>
        <v>0</v>
      </c>
      <c r="H148" s="646">
        <f t="shared" si="19"/>
        <v>0</v>
      </c>
      <c r="I148" s="628">
        <f t="shared" si="18"/>
        <v>0</v>
      </c>
      <c r="J148" s="505">
        <f t="shared" si="20"/>
        <v>0</v>
      </c>
      <c r="K148" s="505"/>
      <c r="L148" s="513"/>
      <c r="M148" s="505">
        <f t="shared" si="21"/>
        <v>0</v>
      </c>
      <c r="N148" s="513"/>
      <c r="O148" s="505">
        <f t="shared" si="22"/>
        <v>0</v>
      </c>
      <c r="P148" s="505">
        <f t="shared" si="23"/>
        <v>0</v>
      </c>
    </row>
    <row r="149" spans="2:16" ht="12.5">
      <c r="B149" s="145" t="str">
        <f t="shared" si="9"/>
        <v/>
      </c>
      <c r="C149" s="496">
        <f>IF(D94="","-",+C148+1)</f>
        <v>2069</v>
      </c>
      <c r="D149" s="350">
        <f>IF(F148+SUM(E$100:E148)=D$93,F148,D$93-SUM(E$100:E148))</f>
        <v>0</v>
      </c>
      <c r="E149" s="510">
        <f t="shared" si="15"/>
        <v>0</v>
      </c>
      <c r="F149" s="511">
        <f t="shared" si="16"/>
        <v>0</v>
      </c>
      <c r="G149" s="511">
        <f t="shared" si="17"/>
        <v>0</v>
      </c>
      <c r="H149" s="646">
        <f t="shared" si="19"/>
        <v>0</v>
      </c>
      <c r="I149" s="628">
        <f t="shared" si="18"/>
        <v>0</v>
      </c>
      <c r="J149" s="505">
        <f t="shared" si="20"/>
        <v>0</v>
      </c>
      <c r="K149" s="505"/>
      <c r="L149" s="513"/>
      <c r="M149" s="505">
        <f t="shared" si="21"/>
        <v>0</v>
      </c>
      <c r="N149" s="513"/>
      <c r="O149" s="505">
        <f t="shared" si="22"/>
        <v>0</v>
      </c>
      <c r="P149" s="505">
        <f t="shared" si="23"/>
        <v>0</v>
      </c>
    </row>
    <row r="150" spans="2:16" ht="12.5">
      <c r="B150" s="145" t="str">
        <f t="shared" si="9"/>
        <v/>
      </c>
      <c r="C150" s="496">
        <f>IF(D94="","-",+C149+1)</f>
        <v>2070</v>
      </c>
      <c r="D150" s="350">
        <f>IF(F149+SUM(E$100:E149)=D$93,F149,D$93-SUM(E$100:E149))</f>
        <v>0</v>
      </c>
      <c r="E150" s="510">
        <f t="shared" si="15"/>
        <v>0</v>
      </c>
      <c r="F150" s="511">
        <f t="shared" si="16"/>
        <v>0</v>
      </c>
      <c r="G150" s="511">
        <f t="shared" si="17"/>
        <v>0</v>
      </c>
      <c r="H150" s="646">
        <f t="shared" si="19"/>
        <v>0</v>
      </c>
      <c r="I150" s="628">
        <f t="shared" si="18"/>
        <v>0</v>
      </c>
      <c r="J150" s="505">
        <f t="shared" si="20"/>
        <v>0</v>
      </c>
      <c r="K150" s="505"/>
      <c r="L150" s="513"/>
      <c r="M150" s="505">
        <f t="shared" si="21"/>
        <v>0</v>
      </c>
      <c r="N150" s="513"/>
      <c r="O150" s="505">
        <f t="shared" si="22"/>
        <v>0</v>
      </c>
      <c r="P150" s="505">
        <f t="shared" si="23"/>
        <v>0</v>
      </c>
    </row>
    <row r="151" spans="2:16" ht="12.5">
      <c r="B151" s="145" t="str">
        <f t="shared" si="9"/>
        <v/>
      </c>
      <c r="C151" s="496">
        <f>IF(D94="","-",+C150+1)</f>
        <v>2071</v>
      </c>
      <c r="D151" s="350">
        <f>IF(F150+SUM(E$100:E150)=D$93,F150,D$93-SUM(E$100:E150))</f>
        <v>0</v>
      </c>
      <c r="E151" s="510">
        <f t="shared" si="15"/>
        <v>0</v>
      </c>
      <c r="F151" s="511">
        <f t="shared" si="16"/>
        <v>0</v>
      </c>
      <c r="G151" s="511">
        <f t="shared" si="17"/>
        <v>0</v>
      </c>
      <c r="H151" s="646">
        <f t="shared" si="19"/>
        <v>0</v>
      </c>
      <c r="I151" s="628">
        <f t="shared" si="18"/>
        <v>0</v>
      </c>
      <c r="J151" s="505">
        <f t="shared" si="20"/>
        <v>0</v>
      </c>
      <c r="K151" s="505"/>
      <c r="L151" s="513"/>
      <c r="M151" s="505">
        <f t="shared" si="21"/>
        <v>0</v>
      </c>
      <c r="N151" s="513"/>
      <c r="O151" s="505">
        <f t="shared" si="22"/>
        <v>0</v>
      </c>
      <c r="P151" s="505">
        <f t="shared" si="23"/>
        <v>0</v>
      </c>
    </row>
    <row r="152" spans="2:16" ht="12.5">
      <c r="B152" s="145" t="str">
        <f t="shared" si="9"/>
        <v/>
      </c>
      <c r="C152" s="496">
        <f>IF(D94="","-",+C151+1)</f>
        <v>2072</v>
      </c>
      <c r="D152" s="350">
        <f>IF(F151+SUM(E$100:E151)=D$93,F151,D$93-SUM(E$100:E151))</f>
        <v>0</v>
      </c>
      <c r="E152" s="510">
        <f t="shared" si="15"/>
        <v>0</v>
      </c>
      <c r="F152" s="511">
        <f t="shared" si="16"/>
        <v>0</v>
      </c>
      <c r="G152" s="511">
        <f t="shared" si="17"/>
        <v>0</v>
      </c>
      <c r="H152" s="646">
        <f t="shared" si="19"/>
        <v>0</v>
      </c>
      <c r="I152" s="628">
        <f t="shared" si="18"/>
        <v>0</v>
      </c>
      <c r="J152" s="505">
        <f t="shared" si="20"/>
        <v>0</v>
      </c>
      <c r="K152" s="505"/>
      <c r="L152" s="513"/>
      <c r="M152" s="505">
        <f t="shared" si="21"/>
        <v>0</v>
      </c>
      <c r="N152" s="513"/>
      <c r="O152" s="505">
        <f t="shared" si="22"/>
        <v>0</v>
      </c>
      <c r="P152" s="505">
        <f t="shared" si="23"/>
        <v>0</v>
      </c>
    </row>
    <row r="153" spans="2:16" ht="12.5">
      <c r="B153" s="145" t="str">
        <f t="shared" si="9"/>
        <v/>
      </c>
      <c r="C153" s="496">
        <f>IF(D94="","-",+C152+1)</f>
        <v>2073</v>
      </c>
      <c r="D153" s="350">
        <f>IF(F152+SUM(E$100:E152)=D$93,F152,D$93-SUM(E$100:E152))</f>
        <v>0</v>
      </c>
      <c r="E153" s="510">
        <f t="shared" si="15"/>
        <v>0</v>
      </c>
      <c r="F153" s="511">
        <f t="shared" si="16"/>
        <v>0</v>
      </c>
      <c r="G153" s="511">
        <f t="shared" si="17"/>
        <v>0</v>
      </c>
      <c r="H153" s="646">
        <f t="shared" si="19"/>
        <v>0</v>
      </c>
      <c r="I153" s="628">
        <f t="shared" si="18"/>
        <v>0</v>
      </c>
      <c r="J153" s="505">
        <f t="shared" si="20"/>
        <v>0</v>
      </c>
      <c r="K153" s="505"/>
      <c r="L153" s="513"/>
      <c r="M153" s="505">
        <f t="shared" si="21"/>
        <v>0</v>
      </c>
      <c r="N153" s="513"/>
      <c r="O153" s="505">
        <f t="shared" si="22"/>
        <v>0</v>
      </c>
      <c r="P153" s="505">
        <f t="shared" si="23"/>
        <v>0</v>
      </c>
    </row>
    <row r="154" spans="2:16" ht="12.5">
      <c r="B154" s="145" t="str">
        <f t="shared" si="9"/>
        <v/>
      </c>
      <c r="C154" s="496">
        <f>IF(D94="","-",+C153+1)</f>
        <v>2074</v>
      </c>
      <c r="D154" s="350">
        <f>IF(F153+SUM(E$100:E153)=D$93,F153,D$93-SUM(E$100:E153))</f>
        <v>0</v>
      </c>
      <c r="E154" s="510">
        <f t="shared" si="15"/>
        <v>0</v>
      </c>
      <c r="F154" s="511">
        <f t="shared" si="16"/>
        <v>0</v>
      </c>
      <c r="G154" s="511">
        <f t="shared" si="17"/>
        <v>0</v>
      </c>
      <c r="H154" s="646">
        <f t="shared" si="19"/>
        <v>0</v>
      </c>
      <c r="I154" s="628">
        <f t="shared" si="18"/>
        <v>0</v>
      </c>
      <c r="J154" s="505">
        <f t="shared" si="20"/>
        <v>0</v>
      </c>
      <c r="K154" s="505"/>
      <c r="L154" s="513"/>
      <c r="M154" s="505">
        <f t="shared" si="21"/>
        <v>0</v>
      </c>
      <c r="N154" s="513"/>
      <c r="O154" s="505">
        <f t="shared" si="22"/>
        <v>0</v>
      </c>
      <c r="P154" s="505">
        <f t="shared" si="23"/>
        <v>0</v>
      </c>
    </row>
    <row r="155" spans="2:16" ht="13" thickBot="1">
      <c r="B155" s="145" t="str">
        <f t="shared" si="9"/>
        <v/>
      </c>
      <c r="C155" s="525">
        <f>IF(D94="","-",+C154+1)</f>
        <v>2075</v>
      </c>
      <c r="D155" s="636">
        <f>IF(F154+SUM(E$100:E154)=D$93,F154,D$93-SUM(E$100:E154))</f>
        <v>0</v>
      </c>
      <c r="E155" s="527">
        <f t="shared" si="15"/>
        <v>0</v>
      </c>
      <c r="F155" s="528">
        <f t="shared" si="16"/>
        <v>0</v>
      </c>
      <c r="G155" s="528">
        <f t="shared" si="17"/>
        <v>0</v>
      </c>
      <c r="H155" s="646">
        <f t="shared" si="19"/>
        <v>0</v>
      </c>
      <c r="I155" s="624">
        <f t="shared" si="18"/>
        <v>0</v>
      </c>
      <c r="J155" s="532">
        <f t="shared" si="20"/>
        <v>0</v>
      </c>
      <c r="K155" s="505"/>
      <c r="L155" s="531"/>
      <c r="M155" s="532">
        <f t="shared" si="21"/>
        <v>0</v>
      </c>
      <c r="N155" s="531"/>
      <c r="O155" s="532">
        <f t="shared" si="22"/>
        <v>0</v>
      </c>
      <c r="P155" s="532">
        <f t="shared" si="23"/>
        <v>0</v>
      </c>
    </row>
    <row r="156" spans="2:16" ht="12.5">
      <c r="C156" s="350" t="s">
        <v>75</v>
      </c>
      <c r="D156" s="295"/>
      <c r="E156" s="295">
        <f>SUM(E100:E155)</f>
        <v>3418188</v>
      </c>
      <c r="F156" s="295"/>
      <c r="G156" s="295"/>
      <c r="H156" s="295">
        <f>SUM(H100:H155)</f>
        <v>8510566.8330561128</v>
      </c>
      <c r="I156" s="295">
        <f>SUM(I100:I155)</f>
        <v>8510566.8330561128</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63"/>
  <sheetViews>
    <sheetView topLeftCell="F79" zoomScaleNormal="100" workbookViewId="0">
      <selection activeCell="A5" sqref="A5"/>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nk of 20</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ht="13">
      <c r="C10" s="42" t="s">
        <v>49</v>
      </c>
      <c r="D10" s="43">
        <v>0</v>
      </c>
      <c r="E10" s="11" t="s">
        <v>50</v>
      </c>
      <c r="F10" s="41"/>
      <c r="G10" s="44"/>
      <c r="H10" s="44"/>
      <c r="I10" s="45">
        <f>+OKT.WS.F.BPU.ATRR.Projected!R100</f>
        <v>2020</v>
      </c>
      <c r="J10" s="40"/>
      <c r="K10" s="19" t="s">
        <v>51</v>
      </c>
      <c r="O10" s="4"/>
      <c r="P10" s="4"/>
    </row>
    <row r="11" spans="1:16" ht="12.5">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4</v>
      </c>
      <c r="E12" s="46" t="s">
        <v>55</v>
      </c>
      <c r="F12" s="44"/>
      <c r="G12" s="7"/>
      <c r="H12" s="7"/>
      <c r="I12" s="50">
        <f>OKT.WS.F.BPU.ATRR.Projected!$F$78</f>
        <v>0.1064171487591708</v>
      </c>
      <c r="J12" s="51"/>
      <c r="K12" t="s">
        <v>56</v>
      </c>
      <c r="O12" s="4"/>
      <c r="P12" s="4"/>
    </row>
    <row r="13" spans="1:16" ht="12.5">
      <c r="C13" s="46" t="s">
        <v>57</v>
      </c>
      <c r="D13" s="48">
        <f>+OKT.WS.F.BPU.ATRR.Projected!F$89</f>
        <v>34</v>
      </c>
      <c r="E13" s="46" t="s">
        <v>58</v>
      </c>
      <c r="F13" s="44"/>
      <c r="G13" s="7"/>
      <c r="H13" s="7"/>
      <c r="I13" s="50">
        <f>IF(G5="",I12,OKT.WS.F.BPU.ATRR.Projected!$F$77)</f>
        <v>0.1064171487591708</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ht="12.5">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ht="12.5">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ht="12.5">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ht="12.5">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ht="12.5">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ht="12.5">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ht="12.5">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ht="12.5">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ht="12.5">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ht="12.5">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ht="12.5">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ht="12.5">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ht="12.5">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ht="12.5">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ht="12.5">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ht="12.5">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ht="12.5">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ht="12.5">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ht="12.5">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ht="12.5">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ht="12.5">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ht="12.5">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ht="12.5">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ht="12.5">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ht="12.5">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ht="12.5">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ht="12.5">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ht="12.5">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ht="12.5">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ht="12.5">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ht="12.5">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ht="12.5">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ht="12.5">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ht="12.5">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ht="12.5">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ht="12.5">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ht="12.5">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ht="12.5">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ht="12.5">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ht="12.5">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ht="12.5">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ht="12.5">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ht="12.5">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ht="12.5">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ht="12.5">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ht="12.5">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ht="12.5">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ht="12.5">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ht="12.5">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ht="12.5">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ht="12.5">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ht="12.5">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ht="12.5">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ht="12.5">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ht="12.5">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0</v>
      </c>
      <c r="F74" s="19"/>
      <c r="G74" s="19">
        <f>SUM(G17:G73)</f>
        <v>0</v>
      </c>
      <c r="H74" s="19">
        <f>SUM(H17:H73)</f>
        <v>0</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nk of 20</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2020</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ht="13">
      <c r="C93" s="46" t="s">
        <v>49</v>
      </c>
      <c r="D93" s="102">
        <v>0</v>
      </c>
      <c r="E93" s="9" t="s">
        <v>84</v>
      </c>
      <c r="H93" s="44"/>
      <c r="I93" s="44"/>
      <c r="J93" s="45">
        <f>+'OKT.WS.G.BPU.ATRR.True-up'!M16</f>
        <v>2020</v>
      </c>
      <c r="K93" s="40"/>
      <c r="L93" s="19" t="s">
        <v>85</v>
      </c>
      <c r="P93" s="4"/>
    </row>
    <row r="94" spans="1:16" ht="12.5">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4</v>
      </c>
      <c r="E95" s="46" t="s">
        <v>55</v>
      </c>
      <c r="F95" s="44"/>
      <c r="G95" s="44"/>
      <c r="J95" s="50">
        <f>'OKT.WS.G.BPU.ATRR.True-up'!$F$81</f>
        <v>0.10641349897030054</v>
      </c>
      <c r="K95" s="51"/>
      <c r="L95" t="s">
        <v>86</v>
      </c>
      <c r="P95" s="4"/>
    </row>
    <row r="96" spans="1:16" ht="12.5">
      <c r="C96" s="46" t="s">
        <v>57</v>
      </c>
      <c r="D96" s="48">
        <f>'OKT.WS.G.BPU.ATRR.True-up'!F$93</f>
        <v>28</v>
      </c>
      <c r="E96" s="46" t="s">
        <v>58</v>
      </c>
      <c r="F96" s="44"/>
      <c r="G96" s="44"/>
      <c r="J96" s="50">
        <f>IF(H88="",J95,'OKT.WS.G.BPU.ATRR.True-up'!$F$80)</f>
        <v>0.10641349897030054</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ht="12.5">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ht="12.5">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ht="12.5">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ht="12.5">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ht="12.5">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ht="12.5">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ht="12.5">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ht="12.5">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ht="12.5">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ht="12.5">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ht="12.5">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ht="12.5">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ht="12.5">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ht="12.5">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ht="12.5">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ht="12.5">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ht="12.5">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ht="12.5">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ht="12.5">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ht="12.5">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ht="12.5">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ht="12.5">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ht="12.5">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ht="12.5">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ht="12.5">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ht="12.5">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ht="12.5">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ht="12.5">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ht="12.5">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ht="12.5">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ht="12.5">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ht="12.5">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ht="12.5">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ht="12.5">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ht="12.5">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ht="12.5">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ht="12.5">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ht="12.5">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ht="12.5">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ht="12.5">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ht="12.5">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ht="12.5">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ht="12.5">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ht="12.5">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ht="12.5">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ht="12.5">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ht="12.5">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ht="12.5">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ht="12.5">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ht="12.5">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ht="12.5">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ht="12.5">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ht="12.5">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ht="12.5">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S137"/>
  <sheetViews>
    <sheetView tabSelected="1" topLeftCell="A12" zoomScale="80" zoomScaleNormal="80" zoomScaleSheetLayoutView="100" workbookViewId="0">
      <selection activeCell="A5" sqref="A5"/>
    </sheetView>
  </sheetViews>
  <sheetFormatPr defaultColWidth="8.7265625" defaultRowHeight="12.75" customHeight="1"/>
  <cols>
    <col min="1" max="1" width="4.7265625" style="145" customWidth="1"/>
    <col min="2" max="2" width="6.7265625" style="145" customWidth="1"/>
    <col min="3" max="3" width="20.7265625" style="145" customWidth="1"/>
    <col min="4" max="9" width="17.7265625" style="145" customWidth="1"/>
    <col min="10" max="10" width="17.7265625" style="145" bestFit="1" customWidth="1"/>
    <col min="11" max="11" width="2.1796875" style="145" customWidth="1"/>
    <col min="12" max="14" width="17.7265625" style="145" customWidth="1"/>
    <col min="15" max="15" width="20.81640625" style="145" customWidth="1"/>
    <col min="16" max="16" width="19.54296875" style="145" customWidth="1"/>
    <col min="17" max="17" width="2.1796875" style="145" customWidth="1"/>
    <col min="18" max="18" width="16.453125" style="145" customWidth="1"/>
    <col min="19" max="19" width="52.453125" style="145" customWidth="1"/>
    <col min="20" max="16384" width="8.7265625" style="145"/>
  </cols>
  <sheetData>
    <row r="1" spans="1:19" ht="17.5">
      <c r="A1" s="662" t="str">
        <f>OKT.WS.F.BPU.ATRR.Projected!A1</f>
        <v xml:space="preserve">AEP West SPP Member Companies </v>
      </c>
      <c r="B1" s="667"/>
      <c r="C1" s="667"/>
      <c r="D1" s="667"/>
      <c r="E1" s="667"/>
      <c r="F1" s="667"/>
      <c r="G1" s="667"/>
      <c r="H1" s="667"/>
      <c r="I1" s="667"/>
      <c r="J1" s="667"/>
      <c r="K1" s="667"/>
      <c r="Q1" s="221"/>
      <c r="R1" s="221"/>
    </row>
    <row r="2" spans="1:19" ht="17.5">
      <c r="A2" s="662" t="str">
        <f>OKT.WS.F.BPU.ATRR.Projected!A2</f>
        <v>2020 Cost of Service Formula Rate Projected on 2019 FF1 Balances</v>
      </c>
      <c r="B2" s="667"/>
      <c r="C2" s="667"/>
      <c r="D2" s="667"/>
      <c r="E2" s="667"/>
      <c r="F2" s="667"/>
      <c r="G2" s="667"/>
      <c r="H2" s="667"/>
      <c r="I2" s="667"/>
      <c r="J2" s="667"/>
      <c r="K2" s="667"/>
      <c r="Q2" s="233" t="s">
        <v>110</v>
      </c>
      <c r="R2" s="221"/>
    </row>
    <row r="3" spans="1:19" ht="18">
      <c r="A3" s="664" t="s">
        <v>125</v>
      </c>
      <c r="B3" s="665"/>
      <c r="C3" s="665"/>
      <c r="D3" s="665"/>
      <c r="E3" s="665"/>
      <c r="F3" s="665"/>
      <c r="G3" s="665"/>
      <c r="H3" s="665"/>
      <c r="I3" s="665"/>
      <c r="J3" s="665"/>
      <c r="K3" s="665"/>
      <c r="Q3" s="221"/>
      <c r="R3" s="221"/>
    </row>
    <row r="4" spans="1:19" ht="17.5">
      <c r="A4" s="665" t="str">
        <f>"Based on a Carrying Charge Derived from ""Trued-Up"" "&amp;M16&amp;" Data"</f>
        <v>Based on a Carrying Charge Derived from "Trued-Up" 2020 Data</v>
      </c>
      <c r="B4" s="665"/>
      <c r="C4" s="665"/>
      <c r="D4" s="665"/>
      <c r="E4" s="665"/>
      <c r="F4" s="665"/>
      <c r="G4" s="665"/>
      <c r="H4" s="665"/>
      <c r="I4" s="665"/>
      <c r="J4" s="665"/>
      <c r="K4" s="665"/>
      <c r="Q4" s="221"/>
      <c r="R4" s="221"/>
    </row>
    <row r="5" spans="1:19" ht="18">
      <c r="A5" s="668" t="str">
        <f>OKT.WS.F.BPU.ATRR.Projected!A5</f>
        <v>OKLAHOMA TRANSMISSION COMPANY</v>
      </c>
      <c r="B5" s="669"/>
      <c r="C5" s="669"/>
      <c r="D5" s="669"/>
      <c r="E5" s="669"/>
      <c r="F5" s="669"/>
      <c r="G5" s="669"/>
      <c r="H5" s="669"/>
      <c r="I5" s="669"/>
      <c r="J5" s="669"/>
      <c r="K5" s="669"/>
      <c r="Q5" s="221"/>
      <c r="R5" s="221"/>
    </row>
    <row r="6" spans="1:19" ht="20">
      <c r="A6" s="381"/>
      <c r="C6" s="306"/>
      <c r="D6" s="157"/>
      <c r="I6" s="213"/>
      <c r="K6" s="221"/>
      <c r="Q6" s="221"/>
      <c r="R6" s="221"/>
    </row>
    <row r="7" spans="1:19" ht="12.5">
      <c r="D7" s="157"/>
      <c r="I7" s="213"/>
      <c r="K7" s="221"/>
      <c r="Q7" s="221"/>
      <c r="R7" s="221"/>
    </row>
    <row r="8" spans="1:19" ht="39.75" customHeight="1">
      <c r="B8" s="234" t="s">
        <v>0</v>
      </c>
      <c r="C8" s="659" t="str">
        <f>"Calculate Return and Income Taxes with "&amp;F13&amp;" basis point ROE increase for Projects Qualified for Incentive."</f>
        <v>Calculate Return and Income Taxes with 0 basis point ROE increase for Projects Qualified for Incentive.</v>
      </c>
      <c r="D8" s="660"/>
      <c r="E8" s="660"/>
      <c r="F8" s="660"/>
      <c r="G8" s="660"/>
      <c r="H8" s="660"/>
      <c r="I8" s="660"/>
      <c r="K8" s="221"/>
      <c r="Q8" s="221"/>
      <c r="R8" s="221"/>
    </row>
    <row r="9" spans="1:19" ht="15.75" customHeight="1">
      <c r="C9" s="382"/>
      <c r="D9" s="382"/>
      <c r="E9" s="382"/>
      <c r="F9" s="382"/>
      <c r="G9" s="382"/>
      <c r="H9" s="382"/>
      <c r="I9" s="382"/>
      <c r="K9" s="221"/>
      <c r="Q9" s="221"/>
      <c r="R9" s="221"/>
    </row>
    <row r="10" spans="1:19" ht="15.5">
      <c r="C10" s="236" t="str">
        <f>"A.   Determine 'R' with hypothetical "&amp;F13&amp;" basis point increase in ROE for Identified Projects"</f>
        <v>A.   Determine 'R' with hypothetical 0 basis point increase in ROE for Identified Projects</v>
      </c>
      <c r="D10" s="157"/>
      <c r="I10" s="213"/>
      <c r="K10" s="221"/>
      <c r="Q10" s="221"/>
      <c r="R10" s="221"/>
    </row>
    <row r="11" spans="1:19" ht="12.5">
      <c r="D11" s="157"/>
      <c r="I11" s="213"/>
      <c r="K11" s="221"/>
      <c r="Q11" s="221"/>
      <c r="R11" s="221"/>
    </row>
    <row r="12" spans="1:19" ht="12.5">
      <c r="C12" s="237" t="str">
        <f>S105</f>
        <v xml:space="preserve">   ROE w/o incentives  (TCOS, ln 143)</v>
      </c>
      <c r="D12" s="157"/>
      <c r="E12" s="238"/>
      <c r="F12" s="239">
        <v>0.105</v>
      </c>
      <c r="G12" s="239"/>
      <c r="H12" s="240"/>
      <c r="I12" s="241"/>
      <c r="J12" s="242"/>
      <c r="K12" s="243"/>
      <c r="L12" s="242"/>
      <c r="M12" s="242"/>
      <c r="N12" s="242"/>
      <c r="O12" s="242"/>
      <c r="P12" s="242"/>
      <c r="Q12" s="243"/>
      <c r="R12" s="279"/>
      <c r="S12" s="244"/>
    </row>
    <row r="13" spans="1:19" ht="13" thickBot="1">
      <c r="C13" s="237" t="s">
        <v>1</v>
      </c>
      <c r="D13" s="157"/>
      <c r="E13" s="238"/>
      <c r="F13" s="246">
        <f>R106</f>
        <v>0</v>
      </c>
      <c r="G13" s="383" t="s">
        <v>133</v>
      </c>
      <c r="L13" s="242"/>
      <c r="M13" s="242"/>
      <c r="N13" s="242"/>
      <c r="O13" s="242"/>
      <c r="P13" s="242"/>
      <c r="Q13" s="243"/>
      <c r="R13" s="279"/>
      <c r="S13" s="244"/>
    </row>
    <row r="14" spans="1:19" ht="13">
      <c r="C14" s="237" t="str">
        <f>"   ROE with additional "&amp;F13&amp;" basis point incentive"</f>
        <v xml:space="preserve">   ROE with additional 0 basis point incentive</v>
      </c>
      <c r="D14" s="238"/>
      <c r="E14" s="238"/>
      <c r="F14" s="247">
        <f>IF((F12+(F13/10000)&gt;0.1245),"ERROR",F12+(F13/10000))</f>
        <v>0.105</v>
      </c>
      <c r="G14" s="248" t="s">
        <v>2</v>
      </c>
      <c r="I14" s="242"/>
      <c r="J14" s="242"/>
      <c r="K14" s="243"/>
      <c r="L14" s="384" t="s">
        <v>79</v>
      </c>
      <c r="M14" s="385"/>
      <c r="N14" s="385"/>
      <c r="O14" s="385"/>
      <c r="P14" s="386"/>
      <c r="Q14" s="243"/>
      <c r="R14" s="279"/>
      <c r="S14" s="244"/>
    </row>
    <row r="15" spans="1:19" ht="12.5">
      <c r="C15" s="237" t="s">
        <v>3</v>
      </c>
      <c r="D15" s="157"/>
      <c r="E15" s="238"/>
      <c r="F15" s="247"/>
      <c r="G15" s="247"/>
      <c r="H15" s="238"/>
      <c r="I15" s="242"/>
      <c r="J15" s="242"/>
      <c r="K15" s="243"/>
      <c r="L15" s="258"/>
      <c r="M15" s="243"/>
      <c r="N15" s="243" t="s">
        <v>9</v>
      </c>
      <c r="O15" s="243" t="s">
        <v>10</v>
      </c>
      <c r="P15" s="260" t="s">
        <v>11</v>
      </c>
      <c r="Q15" s="243"/>
      <c r="R15" s="279"/>
      <c r="S15" s="244"/>
    </row>
    <row r="16" spans="1:19" ht="12.5">
      <c r="C16" s="243"/>
      <c r="D16" s="250" t="s">
        <v>5</v>
      </c>
      <c r="E16" s="250" t="s">
        <v>6</v>
      </c>
      <c r="F16" s="251" t="s">
        <v>7</v>
      </c>
      <c r="G16" s="251"/>
      <c r="H16" s="238"/>
      <c r="I16" s="242"/>
      <c r="J16" s="242"/>
      <c r="K16" s="243"/>
      <c r="L16" s="258" t="s">
        <v>80</v>
      </c>
      <c r="M16" s="387">
        <v>2020</v>
      </c>
      <c r="N16" s="221"/>
      <c r="O16" s="221"/>
      <c r="P16" s="265"/>
      <c r="Q16" s="243"/>
      <c r="R16" s="279"/>
      <c r="S16" s="244"/>
    </row>
    <row r="17" spans="3:19" ht="12.5">
      <c r="C17" s="252" t="s">
        <v>8</v>
      </c>
      <c r="D17" s="253">
        <f>R107</f>
        <v>0.46050615614234741</v>
      </c>
      <c r="E17" s="388">
        <f>R108</f>
        <v>4.1187278923387416E-2</v>
      </c>
      <c r="F17" s="389">
        <f>E17*D17</f>
        <v>1.8966995498971861E-2</v>
      </c>
      <c r="G17" s="389"/>
      <c r="H17" s="238"/>
      <c r="I17" s="242"/>
      <c r="J17" s="256"/>
      <c r="K17" s="257"/>
      <c r="L17" s="264"/>
      <c r="M17" s="390" t="s">
        <v>255</v>
      </c>
      <c r="N17" s="391">
        <f>SUM('OKT.001:OKT.xyz - blank'!M88)</f>
        <v>38282711.552259907</v>
      </c>
      <c r="O17" s="391">
        <f>SUM('OKT.001:OKT.xyz - blank'!N88)</f>
        <v>38282711.552259907</v>
      </c>
      <c r="P17" s="392">
        <f>+O17-N17</f>
        <v>0</v>
      </c>
      <c r="Q17" s="257"/>
      <c r="R17" s="279"/>
      <c r="S17" s="244"/>
    </row>
    <row r="18" spans="3:19" ht="13" thickBot="1">
      <c r="C18" s="252" t="s">
        <v>12</v>
      </c>
      <c r="D18" s="253">
        <f>R109</f>
        <v>0</v>
      </c>
      <c r="E18" s="388">
        <f>R110</f>
        <v>0</v>
      </c>
      <c r="F18" s="389">
        <f>E18*D18</f>
        <v>0</v>
      </c>
      <c r="G18" s="389"/>
      <c r="H18" s="261"/>
      <c r="I18" s="261"/>
      <c r="J18" s="262"/>
      <c r="K18" s="263"/>
      <c r="L18" s="264"/>
      <c r="M18" s="393" t="s">
        <v>256</v>
      </c>
      <c r="N18" s="394">
        <f>SUM('OKT.001:OKT.xyz - blank'!M89)</f>
        <v>40157878.736548707</v>
      </c>
      <c r="O18" s="394">
        <f>SUM('OKT.001:OKT.xyz - blank'!N89)</f>
        <v>40157878.736548707</v>
      </c>
      <c r="P18" s="271">
        <f>+O18-N18</f>
        <v>0</v>
      </c>
      <c r="Q18" s="263"/>
      <c r="R18" s="279"/>
      <c r="S18" s="244"/>
    </row>
    <row r="19" spans="3:19" ht="12.5">
      <c r="C19" s="266" t="s">
        <v>13</v>
      </c>
      <c r="D19" s="253">
        <f>R111</f>
        <v>0.53949384385765264</v>
      </c>
      <c r="E19" s="388">
        <f>+F14</f>
        <v>0.105</v>
      </c>
      <c r="F19" s="395">
        <f>E19*D19</f>
        <v>5.6646853605053525E-2</v>
      </c>
      <c r="G19" s="395"/>
      <c r="H19" s="261"/>
      <c r="I19" s="261"/>
      <c r="J19" s="247"/>
      <c r="K19" s="263"/>
      <c r="L19" s="264"/>
      <c r="M19" s="396" t="str">
        <f>"True-up Adjustment For "&amp;M16&amp;""</f>
        <v>True-up Adjustment For 2020</v>
      </c>
      <c r="N19" s="397">
        <f>ROUND(N18-N17,0)</f>
        <v>1875167</v>
      </c>
      <c r="O19" s="397">
        <f>ROUND(+O18-O17,0)</f>
        <v>1875167</v>
      </c>
      <c r="P19" s="397">
        <f>ROUND(+P18-P17,0)</f>
        <v>0</v>
      </c>
      <c r="Q19" s="263"/>
      <c r="R19" s="279"/>
      <c r="S19" s="244"/>
    </row>
    <row r="20" spans="3:19" ht="12.5">
      <c r="C20" s="237"/>
      <c r="D20" s="238"/>
      <c r="E20" s="290" t="s">
        <v>15</v>
      </c>
      <c r="F20" s="389">
        <f>SUM(F17:F19)</f>
        <v>7.5613849104025382E-2</v>
      </c>
      <c r="G20" s="389"/>
      <c r="H20" s="398"/>
      <c r="I20" s="261"/>
      <c r="J20" s="262"/>
      <c r="K20" s="263"/>
      <c r="L20" s="264"/>
      <c r="M20" s="221"/>
      <c r="N20" s="273" t="str">
        <f>IF(N19=ROUND(SUM('OKT.001:OKT.xyz - blank'!M90),0),"","ERROR")</f>
        <v/>
      </c>
      <c r="O20" s="273" t="str">
        <f>IF(O19=ROUND(SUM('OKT.001:OKT.xyz - blank'!N90),0),"","ERROR")</f>
        <v/>
      </c>
      <c r="P20" s="273" t="str">
        <f>IF(P19=ROUND(SUM('OKT.001:OKT.xyz - blank'!O90),0),"","ERROR")</f>
        <v/>
      </c>
      <c r="Q20" s="263"/>
      <c r="R20" s="279"/>
      <c r="S20" s="244"/>
    </row>
    <row r="21" spans="3:19" ht="13" thickBot="1">
      <c r="D21" s="274"/>
      <c r="E21" s="274"/>
      <c r="F21" s="261"/>
      <c r="G21" s="261"/>
      <c r="H21" s="261"/>
      <c r="I21" s="261"/>
      <c r="J21" s="261"/>
      <c r="K21" s="275"/>
      <c r="L21" s="399"/>
      <c r="M21" s="400"/>
      <c r="N21" s="401"/>
      <c r="O21" s="402"/>
      <c r="P21" s="271"/>
      <c r="Q21" s="275"/>
      <c r="R21" s="279"/>
      <c r="S21" s="244"/>
    </row>
    <row r="22" spans="3:19" ht="15.5">
      <c r="C22" s="236" t="str">
        <f>"B.   Determine Return using 'R' with hypothetical "&amp;F13&amp;" basis point ROE increase for Identified Projects."</f>
        <v>B.   Determine Return using 'R' with hypothetical 0 basis point ROE increase for Identified Projects.</v>
      </c>
      <c r="D22" s="274"/>
      <c r="E22" s="274"/>
      <c r="F22" s="276"/>
      <c r="G22" s="276"/>
      <c r="H22" s="261"/>
      <c r="I22" s="238"/>
      <c r="J22" s="261"/>
      <c r="K22" s="275"/>
      <c r="L22" s="261"/>
      <c r="M22" s="261"/>
      <c r="N22" s="261"/>
      <c r="O22" s="261"/>
      <c r="P22" s="261"/>
      <c r="Q22" s="275"/>
      <c r="R22" s="279"/>
      <c r="S22" s="244"/>
    </row>
    <row r="23" spans="3:19" ht="13">
      <c r="C23" s="243"/>
      <c r="D23" s="274"/>
      <c r="E23" s="274"/>
      <c r="F23" s="275"/>
      <c r="G23" s="275"/>
      <c r="H23" s="275"/>
      <c r="I23" s="275"/>
      <c r="J23" s="275"/>
      <c r="K23" s="275"/>
      <c r="L23" s="175" t="s">
        <v>16</v>
      </c>
      <c r="M23" s="275"/>
      <c r="N23" s="275"/>
      <c r="O23" s="275"/>
      <c r="P23" s="275"/>
      <c r="Q23" s="275"/>
      <c r="R23" s="279"/>
      <c r="S23" s="244"/>
    </row>
    <row r="24" spans="3:19" ht="12.5">
      <c r="C24" s="237" t="str">
        <f>S112</f>
        <v xml:space="preserve">   Rate Base  (TCOS, ln 63)</v>
      </c>
      <c r="D24" s="238"/>
      <c r="E24" s="280">
        <f>R112</f>
        <v>795391391.8786124</v>
      </c>
      <c r="F24" s="281"/>
      <c r="G24" s="281"/>
      <c r="H24" s="275"/>
      <c r="I24" s="275"/>
      <c r="J24" s="275"/>
      <c r="K24" s="275"/>
      <c r="L24" s="145" t="s">
        <v>17</v>
      </c>
      <c r="M24" s="275"/>
      <c r="N24" s="275"/>
      <c r="O24" s="275"/>
      <c r="P24" s="281"/>
      <c r="Q24" s="275"/>
      <c r="R24" s="279"/>
      <c r="S24" s="244"/>
    </row>
    <row r="25" spans="3:19" ht="12.5">
      <c r="C25" s="243" t="s">
        <v>18</v>
      </c>
      <c r="D25" s="240"/>
      <c r="E25" s="282">
        <f>F20</f>
        <v>7.5613849104025382E-2</v>
      </c>
      <c r="F25" s="275"/>
      <c r="G25" s="275"/>
      <c r="H25" s="275"/>
      <c r="I25" s="275"/>
      <c r="J25" s="275"/>
      <c r="K25" s="275"/>
      <c r="L25" s="275"/>
      <c r="M25" s="275"/>
      <c r="N25" s="275"/>
      <c r="O25" s="275"/>
      <c r="P25" s="275"/>
      <c r="Q25" s="275"/>
      <c r="R25" s="279"/>
      <c r="S25" s="244"/>
    </row>
    <row r="26" spans="3:19" ht="12.5">
      <c r="C26" s="284" t="s">
        <v>19</v>
      </c>
      <c r="D26" s="284"/>
      <c r="E26" s="262">
        <f>E24*E25</f>
        <v>60142604.684150115</v>
      </c>
      <c r="F26" s="275"/>
      <c r="G26" s="275"/>
      <c r="H26" s="275"/>
      <c r="I26" s="275"/>
      <c r="J26" s="263"/>
      <c r="K26" s="263"/>
      <c r="L26" s="263"/>
      <c r="M26" s="263"/>
      <c r="N26" s="263"/>
      <c r="O26" s="263"/>
      <c r="P26" s="275"/>
      <c r="Q26" s="263"/>
      <c r="R26" s="279"/>
      <c r="S26" s="244"/>
    </row>
    <row r="27" spans="3:19" ht="13" thickBot="1">
      <c r="C27" s="285"/>
      <c r="D27" s="242"/>
      <c r="E27" s="242"/>
      <c r="F27" s="275"/>
      <c r="G27" s="275"/>
      <c r="H27" s="275"/>
      <c r="I27" s="275"/>
      <c r="J27" s="263"/>
      <c r="K27" s="263"/>
      <c r="L27" s="263"/>
      <c r="M27" s="263"/>
      <c r="N27" s="403">
        <v>39804485.030792631</v>
      </c>
      <c r="O27" s="263"/>
      <c r="P27" s="275"/>
      <c r="Q27" s="263"/>
      <c r="R27" s="279"/>
      <c r="S27" s="244"/>
    </row>
    <row r="28" spans="3:19"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7"/>
      <c r="J28" s="288"/>
      <c r="K28" s="288"/>
      <c r="L28" s="288"/>
      <c r="M28" s="288"/>
      <c r="N28" s="288">
        <f>+N18</f>
        <v>40157878.736548707</v>
      </c>
      <c r="O28" s="404"/>
      <c r="P28" s="287"/>
      <c r="Q28" s="288"/>
      <c r="R28" s="279"/>
      <c r="S28" s="244"/>
    </row>
    <row r="29" spans="3:19" ht="12.5">
      <c r="C29" s="237"/>
      <c r="D29" s="242"/>
      <c r="E29" s="242"/>
      <c r="F29" s="275"/>
      <c r="G29" s="275"/>
      <c r="H29" s="275"/>
      <c r="I29" s="275"/>
      <c r="J29" s="263"/>
      <c r="K29" s="263"/>
      <c r="L29" s="263"/>
      <c r="M29" s="263"/>
      <c r="N29" s="405">
        <f>+N27-N28</f>
        <v>-353393.70575607568</v>
      </c>
      <c r="O29" s="263"/>
      <c r="P29" s="275"/>
      <c r="Q29" s="263"/>
      <c r="R29" s="279"/>
      <c r="S29" s="244"/>
    </row>
    <row r="30" spans="3:19" ht="12.5">
      <c r="C30" s="243" t="s">
        <v>20</v>
      </c>
      <c r="D30" s="290"/>
      <c r="E30" s="291">
        <f>E26</f>
        <v>60142604.684150115</v>
      </c>
      <c r="F30" s="275"/>
      <c r="G30" s="275"/>
      <c r="H30" s="275"/>
      <c r="I30" s="275"/>
      <c r="J30" s="275"/>
      <c r="K30" s="275"/>
      <c r="L30" s="275"/>
      <c r="M30" s="275"/>
      <c r="N30" s="275"/>
      <c r="O30" s="275"/>
      <c r="P30" s="275"/>
      <c r="Q30" s="275"/>
      <c r="R30" s="279"/>
      <c r="S30" s="244"/>
    </row>
    <row r="31" spans="3:19" ht="12.5">
      <c r="C31" s="237" t="str">
        <f>S113</f>
        <v xml:space="preserve">   Tax Rate  (TCOS, ln 99)</v>
      </c>
      <c r="D31" s="290"/>
      <c r="E31" s="292">
        <f>R113</f>
        <v>0.254714</v>
      </c>
      <c r="F31" s="275"/>
      <c r="G31" s="275"/>
      <c r="H31" s="275"/>
      <c r="I31" s="275"/>
      <c r="J31" s="275"/>
      <c r="K31" s="275"/>
      <c r="L31" s="275"/>
      <c r="M31" s="275"/>
      <c r="N31" s="275"/>
      <c r="O31" s="275"/>
      <c r="P31" s="275"/>
      <c r="Q31" s="275"/>
      <c r="R31" s="279"/>
      <c r="S31" s="279"/>
    </row>
    <row r="32" spans="3:19" ht="12.5">
      <c r="C32" s="243" t="s">
        <v>21</v>
      </c>
      <c r="D32" s="293"/>
      <c r="E32" s="247">
        <f>IF(F17&gt;0,($E31/(1-$E31))*(1-$F17/$F20),0)</f>
        <v>0.2560379250207292</v>
      </c>
      <c r="F32" s="279"/>
      <c r="G32" s="279"/>
      <c r="H32" s="279"/>
      <c r="I32" s="295"/>
      <c r="J32" s="279"/>
      <c r="K32" s="279"/>
      <c r="L32" s="279"/>
      <c r="M32" s="279"/>
      <c r="N32" s="279"/>
      <c r="O32" s="279"/>
      <c r="P32" s="279"/>
      <c r="Q32" s="279"/>
      <c r="R32" s="279"/>
      <c r="S32" s="292"/>
    </row>
    <row r="33" spans="2:19" ht="12.5">
      <c r="C33" s="406" t="s">
        <v>22</v>
      </c>
      <c r="D33" s="407"/>
      <c r="E33" s="298">
        <f>E30*E32</f>
        <v>15398787.708671784</v>
      </c>
      <c r="F33" s="279"/>
      <c r="G33" s="279"/>
      <c r="H33" s="279"/>
      <c r="I33" s="295"/>
      <c r="J33" s="279"/>
      <c r="K33" s="279"/>
      <c r="L33" s="279"/>
      <c r="M33" s="279"/>
      <c r="N33" s="279"/>
      <c r="O33" s="279"/>
      <c r="P33" s="279"/>
      <c r="Q33" s="279"/>
      <c r="R33" s="279"/>
      <c r="S33" s="279"/>
    </row>
    <row r="34" spans="2:19" ht="15.5">
      <c r="C34" s="237" t="str">
        <f>S114</f>
        <v xml:space="preserve">   ITC Adjustment  (TCOS, ln 108)</v>
      </c>
      <c r="D34" s="301"/>
      <c r="E34" s="302">
        <f>R114</f>
        <v>0</v>
      </c>
      <c r="F34" s="279"/>
      <c r="G34" s="279"/>
      <c r="H34" s="279"/>
      <c r="I34" s="295"/>
      <c r="J34" s="279"/>
      <c r="K34" s="279"/>
      <c r="L34" s="279"/>
      <c r="M34" s="279"/>
      <c r="N34" s="351"/>
      <c r="O34" s="279"/>
      <c r="P34" s="279"/>
      <c r="Q34" s="279"/>
      <c r="R34" s="279"/>
      <c r="S34" s="279"/>
    </row>
    <row r="35" spans="2:19" ht="12.5">
      <c r="C35" s="408" t="s">
        <v>294</v>
      </c>
      <c r="D35" s="409"/>
      <c r="E35" s="410">
        <v>871276.53008375282</v>
      </c>
      <c r="F35" s="279"/>
      <c r="G35" s="279"/>
      <c r="H35" s="279"/>
      <c r="I35" s="295"/>
      <c r="J35" s="279"/>
      <c r="K35" s="279"/>
      <c r="L35" s="279"/>
      <c r="M35" s="279"/>
      <c r="N35" s="279"/>
      <c r="O35" s="279"/>
      <c r="P35" s="279"/>
      <c r="Q35" s="279"/>
      <c r="R35" s="279"/>
      <c r="S35" s="279"/>
    </row>
    <row r="36" spans="2:19" ht="15.5">
      <c r="C36" s="408" t="s">
        <v>295</v>
      </c>
      <c r="D36" s="301"/>
      <c r="E36" s="410">
        <v>237532.97391873723</v>
      </c>
      <c r="F36" s="301"/>
      <c r="G36" s="301"/>
      <c r="H36" s="301"/>
      <c r="I36" s="301"/>
      <c r="J36" s="301"/>
      <c r="K36" s="301"/>
      <c r="L36" s="301"/>
      <c r="M36" s="301"/>
      <c r="N36" s="301"/>
      <c r="O36" s="301"/>
      <c r="P36" s="303"/>
      <c r="Q36" s="301"/>
      <c r="R36" s="279"/>
      <c r="S36" s="279"/>
    </row>
    <row r="37" spans="2:19" ht="15.5">
      <c r="C37" s="406" t="s">
        <v>23</v>
      </c>
      <c r="D37" s="411"/>
      <c r="E37" s="412">
        <f>SUM(E33:E36)</f>
        <v>16507597.212674275</v>
      </c>
      <c r="F37" s="301"/>
      <c r="G37" s="301"/>
      <c r="H37" s="301"/>
      <c r="I37" s="301"/>
      <c r="J37" s="301"/>
      <c r="K37" s="301"/>
      <c r="L37" s="301"/>
      <c r="M37" s="301"/>
      <c r="N37" s="301"/>
      <c r="O37" s="301"/>
      <c r="P37" s="304"/>
      <c r="Q37" s="301"/>
      <c r="R37" s="279"/>
      <c r="S37" s="244"/>
    </row>
    <row r="38" spans="2:19" ht="12.75" customHeight="1">
      <c r="C38" s="305"/>
      <c r="D38" s="301"/>
      <c r="E38" s="301"/>
      <c r="F38" s="301"/>
      <c r="G38" s="301"/>
      <c r="H38" s="301"/>
      <c r="I38" s="301"/>
      <c r="J38" s="301"/>
      <c r="K38" s="301"/>
      <c r="L38" s="301"/>
      <c r="M38" s="301"/>
      <c r="N38" s="301"/>
      <c r="O38" s="301"/>
      <c r="P38" s="304"/>
      <c r="Q38" s="301"/>
      <c r="R38" s="279"/>
      <c r="S38" s="244"/>
    </row>
    <row r="39" spans="2:19" ht="18">
      <c r="B39" s="234" t="s">
        <v>24</v>
      </c>
      <c r="C39" s="306" t="str">
        <f>"Calculate Net Plant Carrying Charge Rate (Fixed Charge Rate or FCR) with hypothetical "&amp;F13&amp;" basis point"</f>
        <v>Calculate Net Plant Carrying Charge Rate (Fixed Charge Rate or FCR) with hypothetical 0 basis point</v>
      </c>
      <c r="D39" s="301"/>
      <c r="E39" s="301"/>
      <c r="F39" s="301"/>
      <c r="G39" s="301"/>
      <c r="H39" s="301"/>
      <c r="I39" s="301"/>
      <c r="J39" s="301"/>
      <c r="K39" s="301"/>
      <c r="L39" s="301"/>
      <c r="M39" s="301"/>
      <c r="N39" s="301"/>
      <c r="O39" s="301"/>
      <c r="P39" s="304"/>
      <c r="Q39" s="301"/>
      <c r="R39" s="279"/>
      <c r="S39" s="244"/>
    </row>
    <row r="40" spans="2:19" ht="18.75" customHeight="1">
      <c r="B40" s="234"/>
      <c r="C40" s="306" t="str">
        <f>"ROE increase."</f>
        <v>ROE increase.</v>
      </c>
      <c r="D40" s="301"/>
      <c r="E40" s="301"/>
      <c r="F40" s="301"/>
      <c r="G40" s="301"/>
      <c r="H40" s="301"/>
      <c r="I40" s="301"/>
      <c r="J40" s="301"/>
      <c r="K40" s="301"/>
      <c r="L40" s="301"/>
      <c r="M40" s="301"/>
      <c r="N40" s="301"/>
      <c r="O40" s="301"/>
      <c r="P40" s="304"/>
      <c r="Q40" s="301"/>
      <c r="R40" s="279"/>
      <c r="S40" s="244"/>
    </row>
    <row r="41" spans="2:19" ht="12.75" customHeight="1">
      <c r="C41" s="305"/>
      <c r="D41" s="301"/>
      <c r="E41" s="301"/>
      <c r="F41" s="301"/>
      <c r="G41" s="301"/>
      <c r="H41" s="301"/>
      <c r="I41" s="301"/>
      <c r="J41" s="301"/>
      <c r="K41" s="301"/>
      <c r="L41" s="301"/>
      <c r="M41" s="301"/>
      <c r="N41" s="301"/>
      <c r="O41" s="301"/>
      <c r="P41" s="304"/>
      <c r="Q41" s="301"/>
      <c r="R41" s="279"/>
      <c r="S41" s="244"/>
    </row>
    <row r="42" spans="2:19" ht="15.5">
      <c r="B42" s="244"/>
      <c r="C42" s="307" t="s">
        <v>240</v>
      </c>
      <c r="D42" s="308"/>
      <c r="E42" s="308"/>
      <c r="F42" s="308"/>
      <c r="G42" s="308"/>
      <c r="H42" s="308"/>
      <c r="I42" s="308"/>
      <c r="J42" s="308"/>
      <c r="K42" s="308"/>
      <c r="L42" s="308"/>
      <c r="M42" s="308"/>
      <c r="N42" s="308"/>
      <c r="O42" s="308"/>
      <c r="P42" s="302"/>
      <c r="Q42" s="308"/>
      <c r="R42" s="279"/>
      <c r="S42" s="244"/>
    </row>
    <row r="43" spans="2:19" ht="15.5">
      <c r="B43" s="244"/>
      <c r="C43" s="307"/>
      <c r="D43" s="308"/>
      <c r="E43" s="308"/>
      <c r="F43" s="308"/>
      <c r="G43" s="308"/>
      <c r="H43" s="308"/>
      <c r="I43" s="308"/>
      <c r="J43" s="308"/>
      <c r="K43" s="308"/>
      <c r="L43" s="308"/>
      <c r="M43" s="308"/>
      <c r="N43" s="308"/>
      <c r="O43" s="308"/>
      <c r="P43" s="302"/>
      <c r="Q43" s="308"/>
      <c r="R43" s="279"/>
      <c r="S43" s="244"/>
    </row>
    <row r="44" spans="2:19" ht="12.75" customHeight="1">
      <c r="B44" s="244"/>
      <c r="C44" s="237" t="str">
        <f>S117</f>
        <v xml:space="preserve">   Net Revenue Requirement  (TCOS, ln 117)</v>
      </c>
      <c r="D44" s="308"/>
      <c r="E44" s="308"/>
      <c r="F44" s="302">
        <f>R117</f>
        <v>132698856.2997781</v>
      </c>
      <c r="G44" s="302"/>
      <c r="H44" s="308"/>
      <c r="I44" s="308"/>
      <c r="J44" s="308"/>
      <c r="K44" s="308"/>
      <c r="L44" s="308"/>
      <c r="M44" s="308"/>
      <c r="N44" s="308"/>
      <c r="O44" s="308"/>
      <c r="P44" s="302"/>
      <c r="Q44" s="308"/>
      <c r="R44" s="279"/>
      <c r="S44" s="244"/>
    </row>
    <row r="45" spans="2:19" ht="12.5">
      <c r="B45" s="244"/>
      <c r="C45" s="237" t="str">
        <f>S118</f>
        <v xml:space="preserve">   Return  (TCOS, ln 112)</v>
      </c>
      <c r="D45" s="308"/>
      <c r="E45" s="308"/>
      <c r="F45" s="302">
        <f>R118</f>
        <v>60142604.684150115</v>
      </c>
      <c r="G45" s="309"/>
      <c r="H45" s="310"/>
      <c r="I45" s="310"/>
      <c r="J45" s="310"/>
      <c r="K45" s="310"/>
      <c r="L45" s="310"/>
      <c r="M45" s="310"/>
      <c r="N45" s="310"/>
      <c r="O45" s="310"/>
      <c r="P45" s="302"/>
      <c r="Q45" s="310"/>
      <c r="R45" s="279"/>
      <c r="S45" s="244"/>
    </row>
    <row r="46" spans="2:19" ht="12.5">
      <c r="B46" s="244"/>
      <c r="C46" s="237" t="str">
        <f>S119</f>
        <v xml:space="preserve">   Income Taxes  (TCOS, ln 111)</v>
      </c>
      <c r="D46" s="308"/>
      <c r="E46" s="308"/>
      <c r="F46" s="302">
        <f>R119</f>
        <v>14919436.036964547</v>
      </c>
      <c r="G46" s="302"/>
      <c r="H46" s="308"/>
      <c r="I46" s="308"/>
      <c r="J46" s="311"/>
      <c r="K46" s="311"/>
      <c r="L46" s="311"/>
      <c r="M46" s="311"/>
      <c r="N46" s="311"/>
      <c r="O46" s="311"/>
      <c r="P46" s="308"/>
      <c r="Q46" s="311"/>
      <c r="R46" s="279"/>
      <c r="S46" s="244"/>
    </row>
    <row r="47" spans="2:19" ht="12.5">
      <c r="B47" s="244"/>
      <c r="C47" s="237" t="str">
        <f>S120</f>
        <v xml:space="preserve">  Gross Margin Taxes  (TCOS, ln 116)</v>
      </c>
      <c r="D47" s="308"/>
      <c r="E47" s="308"/>
      <c r="F47" s="313">
        <f>R120</f>
        <v>0</v>
      </c>
      <c r="G47" s="302"/>
      <c r="H47" s="308"/>
      <c r="I47" s="308"/>
      <c r="J47" s="311"/>
      <c r="K47" s="311"/>
      <c r="L47" s="311"/>
      <c r="M47" s="311"/>
      <c r="N47" s="311"/>
      <c r="O47" s="311"/>
      <c r="P47" s="308"/>
      <c r="Q47" s="311"/>
      <c r="R47" s="279"/>
      <c r="S47" s="244"/>
    </row>
    <row r="48" spans="2:19" ht="12.5">
      <c r="B48" s="244"/>
      <c r="C48" s="249" t="s">
        <v>25</v>
      </c>
      <c r="D48" s="308"/>
      <c r="E48" s="308"/>
      <c r="F48" s="309">
        <f>F44-F45-F46-F47</f>
        <v>57636815.578663439</v>
      </c>
      <c r="G48" s="309"/>
      <c r="H48" s="314"/>
      <c r="I48" s="308"/>
      <c r="J48" s="314"/>
      <c r="K48" s="314"/>
      <c r="L48" s="314"/>
      <c r="M48" s="314"/>
      <c r="N48" s="314"/>
      <c r="O48" s="314"/>
      <c r="P48" s="314"/>
      <c r="Q48" s="314"/>
      <c r="R48" s="279"/>
      <c r="S48" s="244"/>
    </row>
    <row r="49" spans="2:19" ht="12.5">
      <c r="B49" s="244"/>
      <c r="C49" s="312"/>
      <c r="D49" s="308"/>
      <c r="E49" s="308"/>
      <c r="F49" s="302"/>
      <c r="G49" s="302"/>
      <c r="H49" s="315"/>
      <c r="I49" s="316"/>
      <c r="J49" s="316"/>
      <c r="K49" s="316"/>
      <c r="L49" s="316"/>
      <c r="M49" s="316"/>
      <c r="N49" s="316"/>
      <c r="O49" s="316"/>
      <c r="P49" s="316"/>
      <c r="Q49" s="316"/>
      <c r="R49" s="279"/>
      <c r="S49" s="244"/>
    </row>
    <row r="50" spans="2:19" ht="15.5">
      <c r="B50" s="244"/>
      <c r="C50" s="236" t="str">
        <f>"B.   Determine Net Revenue Requirement with hypothetical "&amp;F13&amp;" basis point increase in ROE."</f>
        <v>B.   Determine Net Revenue Requirement with hypothetical 0 basis point increase in ROE.</v>
      </c>
      <c r="D50" s="317"/>
      <c r="E50" s="317"/>
      <c r="F50" s="302"/>
      <c r="G50" s="302"/>
      <c r="H50" s="315"/>
      <c r="I50" s="316"/>
      <c r="J50" s="316"/>
      <c r="K50" s="316"/>
      <c r="L50" s="316"/>
      <c r="M50" s="316"/>
      <c r="N50" s="316"/>
      <c r="O50" s="316"/>
      <c r="P50" s="316"/>
      <c r="Q50" s="316"/>
      <c r="R50" s="279"/>
      <c r="S50" s="244"/>
    </row>
    <row r="51" spans="2:19" ht="12.5">
      <c r="B51" s="244"/>
      <c r="C51" s="312"/>
      <c r="D51" s="317"/>
      <c r="E51" s="317"/>
      <c r="F51" s="302"/>
      <c r="G51" s="302"/>
      <c r="H51" s="315"/>
      <c r="I51" s="316"/>
      <c r="J51" s="316"/>
      <c r="K51" s="316"/>
      <c r="L51" s="316"/>
      <c r="M51" s="316"/>
      <c r="N51" s="316"/>
      <c r="O51" s="316"/>
      <c r="P51" s="316"/>
      <c r="Q51" s="316"/>
      <c r="R51" s="279"/>
      <c r="S51" s="244"/>
    </row>
    <row r="52" spans="2:19" ht="13">
      <c r="B52" s="244"/>
      <c r="C52" s="312" t="str">
        <f>C48</f>
        <v xml:space="preserve">   Net Revenue Requirement, Less Return and Taxes</v>
      </c>
      <c r="D52" s="317"/>
      <c r="E52" s="317"/>
      <c r="F52" s="302">
        <f>F48</f>
        <v>57636815.578663439</v>
      </c>
      <c r="G52" s="302"/>
      <c r="H52" s="308"/>
      <c r="I52" s="308"/>
      <c r="J52" s="308"/>
      <c r="K52" s="308"/>
      <c r="L52" s="308"/>
      <c r="M52" s="308"/>
      <c r="N52" s="308"/>
      <c r="O52" s="308"/>
      <c r="P52" s="320"/>
      <c r="Q52" s="308"/>
      <c r="R52" s="279"/>
      <c r="S52" s="244"/>
    </row>
    <row r="53" spans="2:19" ht="13">
      <c r="B53" s="244"/>
      <c r="C53" s="243" t="s">
        <v>92</v>
      </c>
      <c r="D53" s="322"/>
      <c r="E53" s="249"/>
      <c r="F53" s="323">
        <f>E26</f>
        <v>60142604.684150115</v>
      </c>
      <c r="G53" s="323"/>
      <c r="H53" s="249"/>
      <c r="I53" s="324"/>
      <c r="J53" s="249"/>
      <c r="K53" s="249"/>
      <c r="L53" s="249"/>
      <c r="M53" s="249"/>
      <c r="N53" s="249"/>
      <c r="O53" s="249"/>
      <c r="P53" s="249"/>
      <c r="Q53" s="249"/>
      <c r="R53" s="279"/>
      <c r="S53" s="244"/>
    </row>
    <row r="54" spans="2:19" ht="12.75" customHeight="1">
      <c r="B54" s="244"/>
      <c r="C54" s="237" t="s">
        <v>26</v>
      </c>
      <c r="D54" s="308"/>
      <c r="E54" s="308"/>
      <c r="F54" s="413">
        <f>E37</f>
        <v>16507597.212674275</v>
      </c>
      <c r="G54" s="325"/>
      <c r="H54" s="244"/>
      <c r="I54" s="326"/>
      <c r="J54" s="244"/>
      <c r="K54" s="279"/>
      <c r="L54" s="244"/>
      <c r="M54" s="244"/>
      <c r="N54" s="244"/>
      <c r="O54" s="244"/>
      <c r="P54" s="244"/>
      <c r="Q54" s="279"/>
      <c r="R54" s="279"/>
      <c r="S54" s="244"/>
    </row>
    <row r="55" spans="2:19" ht="12.5">
      <c r="B55" s="244"/>
      <c r="C55" s="249" t="str">
        <f>"   Net Revenue Requirement, with "&amp;F13&amp;" Basis Point ROE increase"</f>
        <v xml:space="preserve">   Net Revenue Requirement, with 0 Basis Point ROE increase</v>
      </c>
      <c r="D55" s="293"/>
      <c r="E55" s="244"/>
      <c r="F55" s="327">
        <f>SUM(F52:F54)</f>
        <v>134287017.47548783</v>
      </c>
      <c r="G55" s="327"/>
      <c r="H55" s="244"/>
      <c r="I55" s="326"/>
      <c r="J55" s="244"/>
      <c r="K55" s="279"/>
      <c r="L55" s="244"/>
      <c r="M55" s="244"/>
      <c r="N55" s="244"/>
      <c r="O55" s="244"/>
      <c r="P55" s="244"/>
      <c r="Q55" s="279"/>
      <c r="R55" s="279"/>
      <c r="S55" s="244"/>
    </row>
    <row r="56" spans="2:19" ht="12.5">
      <c r="B56" s="244"/>
      <c r="C56" s="300" t="str">
        <f>"   Gross Margin Tax with "&amp;F13&amp;" Basis Point ROE Increase (II C. below)"</f>
        <v xml:space="preserve">   Gross Margin Tax with 0 Basis Point ROE Increase (II C. below)</v>
      </c>
      <c r="D56" s="328"/>
      <c r="E56" s="328"/>
      <c r="F56" s="329">
        <f>+F71</f>
        <v>0</v>
      </c>
      <c r="G56" s="323"/>
      <c r="H56" s="244"/>
      <c r="I56" s="326"/>
      <c r="J56" s="244"/>
      <c r="K56" s="279"/>
      <c r="L56" s="244"/>
      <c r="M56" s="244"/>
      <c r="N56" s="244"/>
      <c r="O56" s="244"/>
      <c r="P56" s="244"/>
      <c r="Q56" s="279"/>
      <c r="R56" s="279"/>
      <c r="S56" s="244"/>
    </row>
    <row r="57" spans="2:19" ht="12.5">
      <c r="B57" s="244"/>
      <c r="C57" s="249" t="s">
        <v>27</v>
      </c>
      <c r="D57" s="293"/>
      <c r="E57" s="244"/>
      <c r="F57" s="299">
        <f>+F55+F56</f>
        <v>134287017.47548783</v>
      </c>
      <c r="G57" s="299"/>
      <c r="H57" s="244"/>
      <c r="I57" s="326"/>
      <c r="J57" s="244"/>
      <c r="K57" s="279"/>
      <c r="L57" s="244"/>
      <c r="M57" s="244"/>
      <c r="N57" s="244"/>
      <c r="O57" s="244"/>
      <c r="P57" s="244"/>
      <c r="Q57" s="279"/>
      <c r="R57" s="279"/>
      <c r="S57" s="244"/>
    </row>
    <row r="58" spans="2:19" ht="12.5">
      <c r="B58" s="244"/>
      <c r="C58" s="237" t="str">
        <f>S121</f>
        <v xml:space="preserve">   Less: Depreciation  (TCOS, ln 86)</v>
      </c>
      <c r="D58" s="293"/>
      <c r="E58" s="244"/>
      <c r="F58" s="330">
        <f>R121</f>
        <v>30906225.643601935</v>
      </c>
      <c r="G58" s="330"/>
      <c r="H58" s="244"/>
      <c r="I58" s="326"/>
      <c r="J58" s="244"/>
      <c r="K58" s="279"/>
      <c r="L58" s="244"/>
      <c r="M58" s="244"/>
      <c r="N58" s="244"/>
      <c r="O58" s="244"/>
      <c r="P58" s="244"/>
      <c r="Q58" s="279"/>
      <c r="R58" s="279"/>
      <c r="S58" s="244"/>
    </row>
    <row r="59" spans="2:19" ht="12.5">
      <c r="B59" s="244"/>
      <c r="C59" s="249" t="str">
        <f>"   Net Rev. Req, w/"&amp;F13&amp;" Basis Point ROE increase, less Depreciation"</f>
        <v xml:space="preserve">   Net Rev. Req, w/0 Basis Point ROE increase, less Depreciation</v>
      </c>
      <c r="D59" s="293"/>
      <c r="E59" s="244"/>
      <c r="F59" s="327">
        <f>F57-F58</f>
        <v>103380791.83188589</v>
      </c>
      <c r="G59" s="327"/>
      <c r="H59" s="244"/>
      <c r="I59" s="326"/>
      <c r="J59" s="244"/>
      <c r="K59" s="279"/>
      <c r="L59" s="244"/>
      <c r="M59" s="244"/>
      <c r="N59" s="244"/>
      <c r="O59" s="244"/>
      <c r="P59" s="244"/>
      <c r="Q59" s="279"/>
      <c r="R59" s="279"/>
      <c r="S59" s="244"/>
    </row>
    <row r="60" spans="2:19" ht="12.5">
      <c r="B60" s="244"/>
      <c r="C60" s="244"/>
      <c r="D60" s="293"/>
      <c r="E60" s="244"/>
      <c r="F60" s="244"/>
      <c r="G60" s="244"/>
      <c r="H60" s="244"/>
      <c r="I60" s="326"/>
      <c r="J60" s="244"/>
      <c r="K60" s="279"/>
      <c r="L60" s="244"/>
      <c r="M60" s="244"/>
      <c r="N60" s="244"/>
      <c r="O60" s="244"/>
      <c r="P60" s="244"/>
      <c r="Q60" s="279"/>
      <c r="R60" s="279"/>
      <c r="S60" s="244"/>
    </row>
    <row r="61" spans="2:19" ht="15.5">
      <c r="B61" s="244"/>
      <c r="C61" s="307" t="str">
        <f>"C.   Determine Gross Margin Tax with hypothetical "&amp;F13&amp;" basis point increase in ROE."</f>
        <v>C.   Determine Gross Margin Tax with hypothetical 0 basis point increase in ROE.</v>
      </c>
      <c r="D61" s="331"/>
      <c r="E61" s="331"/>
      <c r="F61" s="332"/>
      <c r="G61" s="332"/>
      <c r="H61" s="245"/>
      <c r="I61" s="326"/>
      <c r="J61" s="244"/>
      <c r="K61" s="279"/>
      <c r="L61" s="244"/>
      <c r="M61" s="244"/>
      <c r="N61" s="244"/>
      <c r="O61" s="244"/>
      <c r="P61" s="244"/>
      <c r="Q61" s="279"/>
      <c r="R61" s="279"/>
      <c r="S61" s="244"/>
    </row>
    <row r="62" spans="2:19" ht="12.5">
      <c r="B62" s="244"/>
      <c r="C62" s="300" t="str">
        <f>"   Net Revenue Requirement before Gross Margin Taxes, with "&amp;F13&amp;" "</f>
        <v xml:space="preserve">   Net Revenue Requirement before Gross Margin Taxes, with 0 </v>
      </c>
      <c r="D62" s="331"/>
      <c r="E62" s="331"/>
      <c r="F62" s="332">
        <f>+F55</f>
        <v>134287017.47548783</v>
      </c>
      <c r="G62" s="332"/>
      <c r="H62" s="245"/>
      <c r="I62" s="326"/>
      <c r="J62" s="244"/>
      <c r="K62" s="279"/>
      <c r="L62" s="244"/>
      <c r="M62" s="244"/>
      <c r="N62" s="244"/>
      <c r="O62" s="244"/>
      <c r="P62" s="244"/>
      <c r="Q62" s="279"/>
      <c r="R62" s="279"/>
      <c r="S62" s="244"/>
    </row>
    <row r="63" spans="2:19" ht="12.5">
      <c r="B63" s="244"/>
      <c r="C63" s="300" t="s">
        <v>28</v>
      </c>
      <c r="D63" s="331"/>
      <c r="E63" s="331"/>
      <c r="F63" s="332"/>
      <c r="G63" s="332"/>
      <c r="H63" s="245"/>
      <c r="I63" s="326"/>
      <c r="J63" s="244"/>
      <c r="K63" s="279"/>
      <c r="L63" s="244"/>
      <c r="M63" s="244"/>
      <c r="N63" s="244"/>
      <c r="O63" s="244"/>
      <c r="P63" s="244"/>
      <c r="Q63" s="279"/>
      <c r="R63" s="279"/>
      <c r="S63" s="244"/>
    </row>
    <row r="64" spans="2:19" ht="12.5">
      <c r="B64" s="244"/>
      <c r="C64" s="249" t="str">
        <f>S120</f>
        <v xml:space="preserve">  Gross Margin Taxes  (TCOS, ln 116)</v>
      </c>
      <c r="D64" s="334"/>
      <c r="E64" s="245"/>
      <c r="F64" s="335">
        <f>R120</f>
        <v>0</v>
      </c>
      <c r="G64" s="414"/>
      <c r="H64" s="245"/>
      <c r="I64" s="326"/>
      <c r="J64" s="244"/>
      <c r="K64" s="279"/>
      <c r="L64" s="244"/>
      <c r="M64" s="244"/>
      <c r="N64" s="244"/>
      <c r="O64" s="244"/>
      <c r="P64" s="244"/>
      <c r="Q64" s="279"/>
      <c r="R64" s="279"/>
      <c r="S64" s="244"/>
    </row>
    <row r="65" spans="2:19" ht="12.5">
      <c r="B65" s="244"/>
      <c r="C65" s="249" t="s">
        <v>29</v>
      </c>
      <c r="D65" s="334"/>
      <c r="E65" s="245"/>
      <c r="F65" s="332">
        <f>+F64*F62</f>
        <v>0</v>
      </c>
      <c r="G65" s="332"/>
      <c r="H65" s="245"/>
      <c r="I65" s="326"/>
      <c r="J65" s="244"/>
      <c r="K65" s="279"/>
      <c r="L65" s="244"/>
      <c r="M65" s="244"/>
      <c r="N65" s="244"/>
      <c r="O65" s="244"/>
      <c r="P65" s="244"/>
      <c r="Q65" s="279"/>
      <c r="R65" s="279"/>
      <c r="S65" s="244"/>
    </row>
    <row r="66" spans="2:19" ht="12.5">
      <c r="B66" s="244"/>
      <c r="C66" s="249" t="str">
        <f>+OKT.WS.F.BPU.ATRR.Projected!C64</f>
        <v xml:space="preserve">       Taxable Percentage of Revenue (22%)</v>
      </c>
      <c r="D66" s="334"/>
      <c r="E66" s="245"/>
      <c r="F66" s="336">
        <f>+OKT.WS.F.BPU.ATRR.Projected!F64</f>
        <v>0.22</v>
      </c>
      <c r="G66" s="415"/>
      <c r="H66" s="245"/>
      <c r="I66" s="326"/>
      <c r="J66" s="244"/>
      <c r="K66" s="279"/>
      <c r="L66" s="244"/>
      <c r="M66" s="244"/>
      <c r="N66" s="244"/>
      <c r="O66" s="244"/>
      <c r="P66" s="244"/>
      <c r="Q66" s="279"/>
      <c r="R66" s="279"/>
      <c r="S66" s="244"/>
    </row>
    <row r="67" spans="2:19" ht="12.5">
      <c r="B67" s="244"/>
      <c r="C67" s="249" t="s">
        <v>30</v>
      </c>
      <c r="D67" s="334"/>
      <c r="E67" s="245"/>
      <c r="F67" s="332">
        <f>+F65*F66</f>
        <v>0</v>
      </c>
      <c r="G67" s="332"/>
      <c r="H67" s="245"/>
      <c r="I67" s="326"/>
      <c r="J67" s="244"/>
      <c r="K67" s="279"/>
      <c r="L67" s="244"/>
      <c r="M67" s="244"/>
      <c r="N67" s="244"/>
      <c r="O67" s="244"/>
      <c r="P67" s="244"/>
      <c r="Q67" s="279"/>
      <c r="R67" s="279"/>
      <c r="S67" s="244"/>
    </row>
    <row r="68" spans="2:19" ht="12.5">
      <c r="B68" s="244"/>
      <c r="C68" s="249" t="s">
        <v>31</v>
      </c>
      <c r="D68" s="334"/>
      <c r="E68" s="245"/>
      <c r="F68" s="336">
        <v>0.01</v>
      </c>
      <c r="G68" s="415"/>
      <c r="H68" s="245"/>
      <c r="I68" s="326"/>
      <c r="J68" s="244"/>
      <c r="K68" s="279"/>
      <c r="L68" s="244"/>
      <c r="M68" s="244"/>
      <c r="N68" s="244"/>
      <c r="O68" s="244"/>
      <c r="P68" s="244"/>
      <c r="Q68" s="279"/>
      <c r="R68" s="279"/>
      <c r="S68" s="244"/>
    </row>
    <row r="69" spans="2:19" ht="12.5">
      <c r="B69" s="244"/>
      <c r="C69" s="249" t="s">
        <v>32</v>
      </c>
      <c r="D69" s="334"/>
      <c r="E69" s="245"/>
      <c r="F69" s="332">
        <f>+F67*F68</f>
        <v>0</v>
      </c>
      <c r="G69" s="332"/>
      <c r="H69" s="245"/>
      <c r="I69" s="326"/>
      <c r="J69" s="244"/>
      <c r="K69" s="279"/>
      <c r="L69" s="244"/>
      <c r="M69" s="244"/>
      <c r="N69" s="244"/>
      <c r="O69" s="244"/>
      <c r="P69" s="244"/>
      <c r="Q69" s="279"/>
      <c r="R69" s="279"/>
      <c r="S69" s="244"/>
    </row>
    <row r="70" spans="2:19" ht="12.5">
      <c r="B70" s="244"/>
      <c r="C70" s="249" t="s">
        <v>33</v>
      </c>
      <c r="D70" s="334"/>
      <c r="E70" s="245"/>
      <c r="F70" s="337">
        <f>+ROUND((F69*F66*F64)/(1-F68)*F68,0)</f>
        <v>0</v>
      </c>
      <c r="G70" s="416"/>
      <c r="H70" s="245"/>
      <c r="I70" s="326"/>
      <c r="J70" s="244"/>
      <c r="K70" s="279"/>
      <c r="L70" s="244"/>
      <c r="M70" s="244"/>
      <c r="N70" s="244"/>
      <c r="O70" s="244"/>
      <c r="P70" s="244"/>
      <c r="Q70" s="279"/>
      <c r="R70" s="279"/>
      <c r="S70" s="244"/>
    </row>
    <row r="71" spans="2:19" ht="12.5">
      <c r="B71" s="244"/>
      <c r="C71" s="249" t="s">
        <v>34</v>
      </c>
      <c r="D71" s="334"/>
      <c r="E71" s="245"/>
      <c r="F71" s="332">
        <f>+F69+F70</f>
        <v>0</v>
      </c>
      <c r="G71" s="332"/>
      <c r="H71" s="245"/>
      <c r="I71" s="326"/>
      <c r="J71" s="244"/>
      <c r="K71" s="279"/>
      <c r="L71" s="244"/>
      <c r="M71" s="244"/>
      <c r="N71" s="244"/>
      <c r="O71" s="244"/>
      <c r="P71" s="244"/>
      <c r="Q71" s="279"/>
      <c r="R71" s="279"/>
      <c r="S71" s="244"/>
    </row>
    <row r="72" spans="2:19" ht="12.5">
      <c r="B72" s="244"/>
      <c r="C72" s="244"/>
      <c r="D72" s="293"/>
      <c r="E72" s="244"/>
      <c r="F72" s="244"/>
      <c r="G72" s="244"/>
      <c r="H72" s="244"/>
      <c r="I72" s="326"/>
      <c r="J72" s="244"/>
      <c r="K72" s="279"/>
      <c r="L72" s="244"/>
      <c r="M72" s="244"/>
      <c r="N72" s="244"/>
      <c r="O72" s="244"/>
      <c r="P72" s="244"/>
      <c r="Q72" s="279"/>
      <c r="R72" s="279"/>
      <c r="S72" s="244"/>
    </row>
    <row r="73" spans="2:19" ht="15.5">
      <c r="B73" s="244"/>
      <c r="C73" s="236" t="str">
        <f>"D.   Determine FCR with hypothetical "&amp;F13&amp;" basis point ROE increase."</f>
        <v>D.   Determine FCR with hypothetical 0 basis point ROE increase.</v>
      </c>
      <c r="D73" s="293"/>
      <c r="E73" s="244"/>
      <c r="F73" s="244"/>
      <c r="G73" s="244"/>
      <c r="H73" s="244"/>
      <c r="I73" s="213"/>
      <c r="J73" s="244"/>
      <c r="K73" s="279"/>
      <c r="L73" s="244"/>
      <c r="M73" s="244"/>
      <c r="N73" s="244"/>
      <c r="O73" s="244"/>
      <c r="P73" s="244"/>
      <c r="Q73" s="279"/>
      <c r="R73" s="279"/>
      <c r="S73" s="244"/>
    </row>
    <row r="74" spans="2:19" ht="12.5">
      <c r="B74" s="244"/>
      <c r="C74" s="244"/>
      <c r="D74" s="293"/>
      <c r="E74" s="244"/>
      <c r="F74" s="244"/>
      <c r="G74" s="244"/>
      <c r="H74" s="244"/>
      <c r="I74" s="326"/>
      <c r="J74" s="244"/>
      <c r="K74" s="279"/>
      <c r="L74" s="244"/>
      <c r="M74" s="244"/>
      <c r="N74" s="244"/>
      <c r="O74" s="244"/>
      <c r="P74" s="244"/>
      <c r="Q74" s="279"/>
      <c r="R74" s="279"/>
      <c r="S74" s="244"/>
    </row>
    <row r="75" spans="2:19" ht="12.5">
      <c r="B75" s="244"/>
      <c r="C75" s="312" t="str">
        <f>S123</f>
        <v xml:space="preserve">   Net Transmission Plant  (TCOS, ln 37)</v>
      </c>
      <c r="D75" s="293"/>
      <c r="E75" s="244"/>
      <c r="F75" s="327">
        <f>R123</f>
        <v>956576295.6876924</v>
      </c>
      <c r="G75" s="327"/>
      <c r="I75" s="213"/>
      <c r="J75" s="244"/>
      <c r="K75" s="279"/>
      <c r="L75" s="244"/>
      <c r="M75" s="244"/>
      <c r="N75" s="244"/>
      <c r="O75" s="244"/>
      <c r="P75" s="244"/>
      <c r="Q75" s="279"/>
      <c r="R75" s="279"/>
      <c r="S75" s="244"/>
    </row>
    <row r="76" spans="2:19" ht="14">
      <c r="B76" s="244"/>
      <c r="C76" s="249" t="str">
        <f>"   Net Revenue Requirement, with "&amp;F13&amp;" Basis Point ROE increase"</f>
        <v xml:space="preserve">   Net Revenue Requirement, with 0 Basis Point ROE increase</v>
      </c>
      <c r="D76" s="293"/>
      <c r="E76" s="244"/>
      <c r="F76" s="417">
        <f>+F57</f>
        <v>134287017.47548783</v>
      </c>
      <c r="G76" s="417"/>
      <c r="I76" s="213"/>
      <c r="J76" s="244"/>
      <c r="K76" s="279"/>
      <c r="L76" s="244"/>
      <c r="M76" s="244"/>
      <c r="N76" s="244"/>
      <c r="O76" s="244"/>
      <c r="P76" s="244"/>
      <c r="Q76" s="279"/>
      <c r="R76" s="279"/>
      <c r="S76" s="244"/>
    </row>
    <row r="77" spans="2:19" ht="12.5">
      <c r="B77" s="244"/>
      <c r="C77" s="249" t="str">
        <f>"   FCR with "&amp;F13&amp;" Basis Point increase in ROE"</f>
        <v xml:space="preserve">   FCR with 0 Basis Point increase in ROE</v>
      </c>
      <c r="D77" s="293"/>
      <c r="E77" s="244"/>
      <c r="F77" s="340">
        <f>IF(F75=0,0,F76/F75)</f>
        <v>0.14038296587617982</v>
      </c>
      <c r="G77" s="340"/>
      <c r="I77" s="213"/>
      <c r="J77" s="244"/>
      <c r="K77" s="279"/>
      <c r="L77" s="244"/>
      <c r="M77" s="244"/>
      <c r="N77" s="244"/>
      <c r="O77" s="244"/>
      <c r="P77" s="244"/>
      <c r="Q77" s="279"/>
      <c r="R77" s="279"/>
      <c r="S77" s="244"/>
    </row>
    <row r="78" spans="2:19" ht="12.5">
      <c r="B78" s="244"/>
      <c r="D78" s="293"/>
      <c r="E78" s="244"/>
      <c r="F78" s="245"/>
      <c r="G78" s="245"/>
      <c r="H78" s="418"/>
      <c r="I78" s="213"/>
      <c r="J78" s="244"/>
      <c r="K78" s="279"/>
      <c r="L78" s="244"/>
      <c r="M78" s="244"/>
      <c r="N78" s="244"/>
      <c r="O78" s="244"/>
      <c r="P78" s="244"/>
      <c r="Q78" s="279"/>
      <c r="R78" s="279"/>
      <c r="S78" s="244"/>
    </row>
    <row r="79" spans="2:19" ht="12.5">
      <c r="B79" s="244"/>
      <c r="C79" s="249" t="str">
        <f>"   Net Rev. Req, w / "&amp;F13&amp;" Basis Point ROE increase, less Dep."</f>
        <v xml:space="preserve">   Net Rev. Req, w / 0 Basis Point ROE increase, less Dep.</v>
      </c>
      <c r="D79" s="293"/>
      <c r="E79" s="244"/>
      <c r="F79" s="327">
        <f>+F59</f>
        <v>103380791.83188589</v>
      </c>
      <c r="G79" s="327"/>
      <c r="I79" s="213"/>
      <c r="J79" s="244"/>
      <c r="K79" s="279"/>
      <c r="L79" s="244"/>
      <c r="M79" s="244"/>
      <c r="N79" s="244"/>
      <c r="O79" s="244"/>
      <c r="P79" s="244"/>
      <c r="Q79" s="279"/>
      <c r="R79" s="279"/>
      <c r="S79" s="244"/>
    </row>
    <row r="80" spans="2:19" ht="12.5">
      <c r="B80" s="244"/>
      <c r="C80" s="249" t="str">
        <f>"   FCR with "&amp;F13&amp;" Basis Point ROE increase, less Depreciation"</f>
        <v xml:space="preserve">   FCR with 0 Basis Point ROE increase, less Depreciation</v>
      </c>
      <c r="D80" s="293"/>
      <c r="E80" s="244"/>
      <c r="F80" s="340">
        <f>IF(F75=0,0,F79/F75)</f>
        <v>0.1080737545953555</v>
      </c>
      <c r="G80" s="340"/>
      <c r="H80" s="338"/>
      <c r="I80" s="213"/>
      <c r="J80" s="244"/>
      <c r="K80" s="279"/>
      <c r="L80" s="244"/>
      <c r="M80" s="244"/>
      <c r="N80" s="244"/>
      <c r="O80" s="244"/>
      <c r="P80" s="244"/>
      <c r="Q80" s="279"/>
      <c r="R80" s="279"/>
      <c r="S80" s="244"/>
    </row>
    <row r="81" spans="2:19" ht="12.5">
      <c r="B81" s="244"/>
      <c r="C81" s="312" t="str">
        <f>S124</f>
        <v xml:space="preserve">   FCR less Depreciation  (TCOS, ln 10)</v>
      </c>
      <c r="D81" s="293"/>
      <c r="E81" s="244"/>
      <c r="F81" s="341">
        <f>R124</f>
        <v>0.10641349897030054</v>
      </c>
      <c r="G81" s="341"/>
      <c r="H81" s="419"/>
      <c r="I81" s="213"/>
      <c r="J81" s="244"/>
      <c r="K81" s="279"/>
      <c r="L81" s="244"/>
      <c r="M81" s="244"/>
      <c r="N81" s="244"/>
      <c r="O81" s="244"/>
      <c r="P81" s="244"/>
      <c r="Q81" s="279"/>
      <c r="R81" s="279"/>
      <c r="S81" s="244"/>
    </row>
    <row r="82" spans="2:19" ht="12.5">
      <c r="B82" s="244"/>
      <c r="C82" s="249" t="str">
        <f>"   Incremental FCR with "&amp;F13&amp;" Basis Point ROE increase, less Depreciation"</f>
        <v xml:space="preserve">   Incremental FCR with 0 Basis Point ROE increase, less Depreciation</v>
      </c>
      <c r="D82" s="293"/>
      <c r="E82" s="244"/>
      <c r="F82" s="340">
        <f>F80-F81</f>
        <v>1.6602556250549516E-3</v>
      </c>
      <c r="G82" s="340"/>
      <c r="I82" s="213"/>
      <c r="J82" s="244"/>
      <c r="K82" s="279"/>
      <c r="L82" s="244"/>
      <c r="M82" s="244"/>
      <c r="N82" s="244"/>
      <c r="O82" s="244"/>
      <c r="P82" s="244"/>
      <c r="Q82" s="279"/>
      <c r="R82" s="279"/>
      <c r="S82" s="244"/>
    </row>
    <row r="83" spans="2:19" ht="12.5">
      <c r="B83" s="244"/>
      <c r="C83" s="249"/>
      <c r="D83" s="293"/>
      <c r="E83" s="244"/>
      <c r="F83" s="340"/>
      <c r="G83" s="340"/>
      <c r="H83" s="244"/>
      <c r="I83" s="326"/>
      <c r="J83" s="244"/>
      <c r="K83" s="279"/>
      <c r="L83" s="244"/>
      <c r="M83" s="244"/>
      <c r="N83" s="244"/>
      <c r="O83" s="244"/>
      <c r="P83" s="244"/>
      <c r="Q83" s="279"/>
      <c r="R83" s="279"/>
      <c r="S83" s="244"/>
    </row>
    <row r="84" spans="2:19" ht="18">
      <c r="B84" s="234" t="s">
        <v>35</v>
      </c>
      <c r="C84" s="306" t="s">
        <v>36</v>
      </c>
      <c r="D84" s="293"/>
      <c r="E84" s="244"/>
      <c r="F84" s="340"/>
      <c r="G84" s="340"/>
      <c r="H84" s="244"/>
      <c r="I84" s="326"/>
      <c r="J84" s="244"/>
      <c r="K84" s="279"/>
      <c r="L84" s="244"/>
      <c r="M84" s="244"/>
      <c r="N84" s="244"/>
      <c r="O84" s="244"/>
      <c r="P84" s="244"/>
      <c r="Q84" s="279"/>
      <c r="R84" s="279"/>
      <c r="S84" s="244"/>
    </row>
    <row r="85" spans="2:19" ht="12.75" customHeight="1">
      <c r="B85" s="234"/>
      <c r="C85" s="306"/>
      <c r="D85" s="293"/>
      <c r="E85" s="244"/>
      <c r="F85" s="340"/>
      <c r="G85" s="340"/>
      <c r="H85" s="244"/>
      <c r="I85" s="326"/>
      <c r="J85" s="244"/>
      <c r="K85" s="279"/>
      <c r="L85" s="244"/>
      <c r="M85" s="244"/>
      <c r="N85" s="244"/>
      <c r="O85" s="244"/>
      <c r="P85" s="244"/>
      <c r="Q85" s="279"/>
      <c r="R85" s="279"/>
      <c r="S85" s="244"/>
    </row>
    <row r="86" spans="2:19" ht="12.75" customHeight="1">
      <c r="B86" s="234"/>
      <c r="C86" s="249" t="s">
        <v>37</v>
      </c>
      <c r="D86" s="293"/>
      <c r="F86" s="420">
        <v>849082429</v>
      </c>
      <c r="G86" s="244" t="s">
        <v>241</v>
      </c>
      <c r="I86" s="652" t="s">
        <v>259</v>
      </c>
      <c r="J86" s="652"/>
      <c r="K86" s="652"/>
      <c r="L86" s="652"/>
      <c r="M86" s="652"/>
      <c r="N86" s="652"/>
      <c r="O86" s="244"/>
      <c r="P86" s="244"/>
      <c r="Q86" s="279"/>
      <c r="R86" s="279"/>
      <c r="S86" s="244"/>
    </row>
    <row r="87" spans="2:19" ht="12.75" customHeight="1">
      <c r="B87" s="234"/>
      <c r="C87" s="249" t="s">
        <v>38</v>
      </c>
      <c r="D87" s="293"/>
      <c r="F87" s="421">
        <v>958546907</v>
      </c>
      <c r="G87" s="244" t="s">
        <v>241</v>
      </c>
      <c r="I87" s="652"/>
      <c r="J87" s="652"/>
      <c r="K87" s="652"/>
      <c r="L87" s="652"/>
      <c r="M87" s="652"/>
      <c r="N87" s="652"/>
      <c r="O87" s="244"/>
      <c r="P87" s="244"/>
      <c r="Q87" s="279"/>
      <c r="R87" s="279"/>
      <c r="S87" s="244"/>
    </row>
    <row r="88" spans="2:19" ht="12.75" customHeight="1">
      <c r="B88" s="234"/>
      <c r="C88" s="249"/>
      <c r="D88" s="293"/>
      <c r="F88" s="333">
        <f>SUM(F86:F87)</f>
        <v>1807629336</v>
      </c>
      <c r="G88" s="326"/>
      <c r="H88" s="244"/>
      <c r="I88" s="652"/>
      <c r="J88" s="652"/>
      <c r="K88" s="652"/>
      <c r="L88" s="652"/>
      <c r="M88" s="652"/>
      <c r="N88" s="652"/>
      <c r="O88" s="244"/>
      <c r="P88" s="244"/>
      <c r="Q88" s="279"/>
      <c r="R88" s="279"/>
      <c r="S88" s="244"/>
    </row>
    <row r="89" spans="2:19" ht="12.5">
      <c r="B89" s="244"/>
      <c r="C89" s="249" t="str">
        <f>+S125</f>
        <v>Transmission Plant @ Beginning of Period (P.206, ln 58)</v>
      </c>
      <c r="D89" s="334"/>
      <c r="E89" s="152"/>
      <c r="F89" s="343">
        <f>+F88/2</f>
        <v>903814668</v>
      </c>
      <c r="G89" s="324"/>
      <c r="I89" s="652"/>
      <c r="J89" s="652"/>
      <c r="K89" s="652"/>
      <c r="L89" s="652"/>
      <c r="M89" s="652"/>
      <c r="N89" s="652"/>
      <c r="O89" s="244"/>
      <c r="P89" s="244"/>
      <c r="Q89" s="279"/>
      <c r="R89" s="279"/>
      <c r="S89" s="244"/>
    </row>
    <row r="90" spans="2:19" ht="12.5">
      <c r="B90" s="244"/>
      <c r="C90" s="237" t="str">
        <f>S128</f>
        <v>Annual Depreciation Expense  (TCOS, ln 86)</v>
      </c>
      <c r="D90" s="334"/>
      <c r="E90" s="245"/>
      <c r="F90" s="343">
        <f>R128</f>
        <v>32737164</v>
      </c>
      <c r="G90" s="324"/>
      <c r="I90" s="652"/>
      <c r="J90" s="652"/>
      <c r="K90" s="652"/>
      <c r="L90" s="652"/>
      <c r="M90" s="652"/>
      <c r="N90" s="652"/>
      <c r="O90" s="244"/>
      <c r="P90" s="244"/>
      <c r="Q90" s="279"/>
      <c r="R90" s="279"/>
      <c r="S90" s="244"/>
    </row>
    <row r="91" spans="2:19" ht="12.5">
      <c r="B91" s="244"/>
      <c r="C91" s="249" t="s">
        <v>39</v>
      </c>
      <c r="D91" s="293"/>
      <c r="E91" s="244"/>
      <c r="F91" s="345">
        <f>F90/F89</f>
        <v>3.6221102798035136E-2</v>
      </c>
      <c r="G91" s="340"/>
      <c r="H91" s="244"/>
      <c r="I91" s="652"/>
      <c r="J91" s="652"/>
      <c r="K91" s="652"/>
      <c r="L91" s="652"/>
      <c r="M91" s="652"/>
      <c r="N91" s="652"/>
      <c r="O91" s="244"/>
      <c r="P91" s="244"/>
      <c r="Q91" s="279"/>
      <c r="R91" s="279"/>
      <c r="S91" s="244"/>
    </row>
    <row r="92" spans="2:19" ht="12.5">
      <c r="B92" s="244"/>
      <c r="C92" s="249" t="s">
        <v>40</v>
      </c>
      <c r="D92" s="293"/>
      <c r="E92" s="244"/>
      <c r="F92" s="347">
        <f>IF(F91=0,0,1/F91)</f>
        <v>27.608215177099645</v>
      </c>
      <c r="G92" s="347"/>
      <c r="H92" s="244"/>
      <c r="I92" s="326"/>
      <c r="J92" s="244"/>
      <c r="K92" s="279"/>
      <c r="L92" s="244"/>
      <c r="M92" s="244"/>
      <c r="N92" s="244"/>
      <c r="O92" s="244"/>
      <c r="P92" s="244"/>
      <c r="Q92" s="279"/>
      <c r="R92" s="279"/>
      <c r="S92" s="244"/>
    </row>
    <row r="93" spans="2:19" ht="12.5">
      <c r="B93" s="244"/>
      <c r="C93" s="249" t="s">
        <v>41</v>
      </c>
      <c r="D93" s="293"/>
      <c r="E93" s="244"/>
      <c r="F93" s="348">
        <f>ROUND(F92,0)</f>
        <v>28</v>
      </c>
      <c r="G93" s="348"/>
      <c r="H93" s="244"/>
      <c r="I93" s="326"/>
      <c r="J93" s="244"/>
      <c r="K93" s="279"/>
      <c r="L93" s="244"/>
      <c r="M93" s="244"/>
      <c r="N93" s="244"/>
      <c r="O93" s="244"/>
      <c r="P93" s="244"/>
      <c r="Q93" s="279"/>
      <c r="R93" s="279"/>
      <c r="S93" s="244"/>
    </row>
    <row r="94" spans="2:19" ht="12.5">
      <c r="B94" s="244"/>
      <c r="C94" s="249"/>
      <c r="D94" s="293"/>
      <c r="E94" s="244"/>
      <c r="F94" s="348"/>
      <c r="G94" s="348"/>
      <c r="H94" s="244"/>
      <c r="I94" s="326"/>
      <c r="J94" s="244"/>
      <c r="K94" s="279"/>
      <c r="L94" s="244"/>
      <c r="M94" s="244"/>
      <c r="N94" s="244"/>
      <c r="O94" s="244"/>
      <c r="P94" s="244"/>
      <c r="Q94" s="279"/>
      <c r="R94" s="279"/>
      <c r="S94" s="244"/>
    </row>
    <row r="95" spans="2:19" ht="12.5">
      <c r="B95" s="244"/>
      <c r="C95" s="249"/>
      <c r="D95" s="293"/>
      <c r="E95" s="244"/>
      <c r="F95" s="348"/>
      <c r="G95" s="348"/>
      <c r="H95" s="244"/>
      <c r="I95" s="326"/>
      <c r="J95" s="244"/>
      <c r="K95" s="279"/>
      <c r="L95" s="244"/>
      <c r="M95" s="244"/>
      <c r="N95" s="244"/>
      <c r="O95" s="244"/>
      <c r="P95" s="244"/>
      <c r="Q95" s="279"/>
      <c r="R95" s="279"/>
      <c r="S95" s="244"/>
    </row>
    <row r="96" spans="2:19" ht="12.5">
      <c r="B96" s="244"/>
      <c r="C96" s="249"/>
      <c r="D96" s="293"/>
      <c r="E96" s="244"/>
      <c r="F96" s="348"/>
      <c r="G96" s="348"/>
      <c r="H96" s="244"/>
      <c r="I96" s="326"/>
      <c r="J96" s="244"/>
      <c r="K96" s="279"/>
      <c r="L96" s="244"/>
      <c r="M96" s="244"/>
      <c r="N96" s="244"/>
      <c r="O96" s="244"/>
      <c r="P96" s="244"/>
      <c r="Q96" s="279"/>
      <c r="R96" s="279"/>
      <c r="S96" s="244"/>
    </row>
    <row r="97" spans="3:19" ht="13">
      <c r="C97" s="244"/>
      <c r="D97" s="293"/>
      <c r="E97" s="244"/>
      <c r="F97" s="244"/>
      <c r="G97" s="244"/>
      <c r="H97" s="244"/>
      <c r="I97" s="326"/>
      <c r="J97" s="244"/>
      <c r="K97" s="279"/>
      <c r="L97" s="244"/>
      <c r="M97" s="244"/>
      <c r="N97" s="244"/>
      <c r="O97" s="244"/>
      <c r="P97" s="244"/>
      <c r="Q97" s="279"/>
      <c r="R97" s="352" t="s">
        <v>111</v>
      </c>
      <c r="S97" s="353" t="s">
        <v>117</v>
      </c>
    </row>
    <row r="98" spans="3:19" ht="12.5">
      <c r="C98" s="244"/>
      <c r="D98" s="293"/>
      <c r="E98" s="244"/>
      <c r="F98" s="244"/>
      <c r="G98" s="244"/>
      <c r="H98" s="244"/>
      <c r="I98" s="326"/>
      <c r="J98" s="244"/>
      <c r="K98" s="279"/>
      <c r="L98" s="244"/>
      <c r="M98" s="244"/>
      <c r="N98" s="244"/>
      <c r="O98" s="244"/>
      <c r="P98" s="244"/>
      <c r="Q98" s="279"/>
    </row>
    <row r="99" spans="3:19" ht="13">
      <c r="C99" s="233" t="s">
        <v>108</v>
      </c>
      <c r="J99" s="221"/>
      <c r="L99" s="233" t="s">
        <v>107</v>
      </c>
      <c r="N99" s="244"/>
      <c r="O99" s="244"/>
      <c r="P99" s="244"/>
      <c r="Q99" s="279"/>
    </row>
    <row r="100" spans="3:19" ht="12.5">
      <c r="C100" s="244"/>
      <c r="D100" s="293"/>
      <c r="E100" s="244"/>
      <c r="F100" s="244"/>
      <c r="G100" s="244"/>
      <c r="H100" s="244"/>
      <c r="I100" s="326"/>
      <c r="J100" s="244"/>
      <c r="K100" s="279"/>
      <c r="L100" s="244"/>
      <c r="M100" s="244"/>
      <c r="N100" s="244"/>
      <c r="O100" s="244"/>
      <c r="P100" s="244"/>
      <c r="Q100" s="279"/>
      <c r="S100" s="353" t="s">
        <v>105</v>
      </c>
    </row>
    <row r="101" spans="3:19" ht="13">
      <c r="C101" s="244"/>
      <c r="D101" s="293"/>
      <c r="E101" s="244"/>
      <c r="F101" s="244"/>
      <c r="G101" s="244"/>
      <c r="H101" s="244"/>
      <c r="I101" s="326"/>
      <c r="J101" s="244"/>
      <c r="K101" s="279"/>
      <c r="L101" s="244"/>
      <c r="M101" s="244"/>
      <c r="N101" s="244"/>
      <c r="O101" s="244"/>
      <c r="P101" s="244"/>
      <c r="Q101" s="279"/>
      <c r="R101" s="352" t="s">
        <v>102</v>
      </c>
      <c r="S101" s="201" t="s">
        <v>119</v>
      </c>
    </row>
    <row r="102" spans="3:19" ht="13.5" thickBot="1">
      <c r="C102" s="244"/>
      <c r="D102" s="293"/>
      <c r="E102" s="244"/>
      <c r="F102" s="244"/>
      <c r="G102" s="244"/>
      <c r="H102" s="244"/>
      <c r="I102" s="326"/>
      <c r="J102" s="244"/>
      <c r="K102" s="279"/>
      <c r="L102" s="244"/>
      <c r="M102" s="244"/>
      <c r="N102" s="244"/>
      <c r="O102" s="244"/>
      <c r="Q102" s="279"/>
      <c r="R102" s="354" t="s">
        <v>186</v>
      </c>
    </row>
    <row r="103" spans="3:19" ht="12.5">
      <c r="C103" s="244"/>
      <c r="D103" s="293"/>
      <c r="E103" s="244"/>
      <c r="F103" s="244"/>
      <c r="G103" s="244"/>
      <c r="H103" s="244"/>
      <c r="I103" s="326"/>
      <c r="J103" s="244"/>
      <c r="K103" s="279"/>
      <c r="L103" s="244"/>
      <c r="M103" s="244"/>
      <c r="N103" s="244"/>
      <c r="O103" s="244"/>
      <c r="Q103" s="279"/>
      <c r="R103" s="422" t="s">
        <v>178</v>
      </c>
      <c r="S103" s="423" t="s">
        <v>127</v>
      </c>
    </row>
    <row r="104" spans="3:19" ht="12.5">
      <c r="C104" s="244"/>
      <c r="D104" s="293"/>
      <c r="E104" s="244"/>
      <c r="F104" s="244"/>
      <c r="G104" s="244"/>
      <c r="H104" s="244"/>
      <c r="I104" s="326"/>
      <c r="J104" s="244"/>
      <c r="K104" s="279"/>
      <c r="L104" s="244"/>
      <c r="M104" s="244"/>
      <c r="N104" s="244"/>
      <c r="O104" s="244"/>
      <c r="Q104" s="279"/>
      <c r="R104" s="357">
        <v>2020</v>
      </c>
      <c r="S104" s="424" t="s">
        <v>84</v>
      </c>
    </row>
    <row r="105" spans="3:19" ht="12.5">
      <c r="C105" s="244"/>
      <c r="D105" s="293"/>
      <c r="E105" s="244"/>
      <c r="F105" s="244"/>
      <c r="G105" s="244"/>
      <c r="H105" s="244"/>
      <c r="I105" s="326"/>
      <c r="J105" s="244"/>
      <c r="K105" s="279"/>
      <c r="L105" s="244"/>
      <c r="M105" s="244"/>
      <c r="N105" s="244"/>
      <c r="O105" s="244"/>
      <c r="Q105" s="279"/>
      <c r="R105" s="425">
        <v>0.105</v>
      </c>
      <c r="S105" s="424" t="s">
        <v>271</v>
      </c>
    </row>
    <row r="106" spans="3:19" ht="12.5">
      <c r="C106" s="244"/>
      <c r="D106" s="293"/>
      <c r="E106" s="244"/>
      <c r="F106" s="244"/>
      <c r="G106" s="244"/>
      <c r="H106" s="244"/>
      <c r="I106" s="326"/>
      <c r="J106" s="244"/>
      <c r="K106" s="279"/>
      <c r="L106" s="244"/>
      <c r="M106" s="244"/>
      <c r="N106" s="244"/>
      <c r="O106" s="244"/>
      <c r="Q106" s="279"/>
      <c r="R106" s="426">
        <v>0</v>
      </c>
      <c r="S106" s="424" t="s">
        <v>1</v>
      </c>
    </row>
    <row r="107" spans="3:19" ht="12.5">
      <c r="C107" s="244"/>
      <c r="D107" s="293"/>
      <c r="E107" s="244"/>
      <c r="F107" s="244"/>
      <c r="G107" s="244"/>
      <c r="H107" s="244"/>
      <c r="I107" s="326"/>
      <c r="J107" s="244"/>
      <c r="K107" s="279"/>
      <c r="L107" s="244"/>
      <c r="M107" s="244"/>
      <c r="N107" s="244"/>
      <c r="O107" s="244"/>
      <c r="Q107" s="279"/>
      <c r="R107" s="425">
        <v>0.46050615614234741</v>
      </c>
      <c r="S107" s="427" t="s">
        <v>97</v>
      </c>
    </row>
    <row r="108" spans="3:19" ht="12.5">
      <c r="C108" s="244"/>
      <c r="D108" s="293"/>
      <c r="E108" s="244"/>
      <c r="F108" s="244"/>
      <c r="G108" s="244"/>
      <c r="H108" s="244"/>
      <c r="I108" s="326"/>
      <c r="J108" s="244"/>
      <c r="K108" s="279"/>
      <c r="L108" s="244"/>
      <c r="M108" s="244"/>
      <c r="N108" s="244"/>
      <c r="O108" s="244"/>
      <c r="Q108" s="279"/>
      <c r="R108" s="428">
        <v>4.1187278923387416E-2</v>
      </c>
      <c r="S108" s="427" t="s">
        <v>98</v>
      </c>
    </row>
    <row r="109" spans="3:19" ht="12.5">
      <c r="C109" s="244"/>
      <c r="D109" s="293"/>
      <c r="E109" s="244"/>
      <c r="F109" s="244"/>
      <c r="G109" s="244"/>
      <c r="H109" s="244"/>
      <c r="I109" s="326"/>
      <c r="J109" s="244"/>
      <c r="K109" s="279"/>
      <c r="L109" s="244"/>
      <c r="M109" s="244"/>
      <c r="N109" s="244"/>
      <c r="O109" s="244"/>
      <c r="Q109" s="279"/>
      <c r="R109" s="425">
        <v>0</v>
      </c>
      <c r="S109" s="427" t="s">
        <v>99</v>
      </c>
    </row>
    <row r="110" spans="3:19" ht="12.5">
      <c r="C110" s="244"/>
      <c r="D110" s="293"/>
      <c r="E110" s="244"/>
      <c r="F110" s="244"/>
      <c r="G110" s="244"/>
      <c r="H110" s="244"/>
      <c r="I110" s="326"/>
      <c r="J110" s="244"/>
      <c r="K110" s="279"/>
      <c r="L110" s="244"/>
      <c r="M110" s="244"/>
      <c r="N110" s="244"/>
      <c r="O110" s="244"/>
      <c r="Q110" s="279"/>
      <c r="R110" s="428">
        <v>0</v>
      </c>
      <c r="S110" s="427" t="s">
        <v>100</v>
      </c>
    </row>
    <row r="111" spans="3:19" ht="12.5">
      <c r="C111" s="244"/>
      <c r="D111" s="293"/>
      <c r="E111" s="244"/>
      <c r="F111" s="244"/>
      <c r="G111" s="244"/>
      <c r="H111" s="244"/>
      <c r="I111" s="326"/>
      <c r="J111" s="244"/>
      <c r="K111" s="279"/>
      <c r="L111" s="244"/>
      <c r="M111" s="244"/>
      <c r="N111" s="244"/>
      <c r="O111" s="244"/>
      <c r="Q111" s="279"/>
      <c r="R111" s="425">
        <v>0.53949384385765264</v>
      </c>
      <c r="S111" s="429" t="s">
        <v>101</v>
      </c>
    </row>
    <row r="112" spans="3:19" ht="12.5">
      <c r="C112" s="244"/>
      <c r="D112" s="293"/>
      <c r="E112" s="244"/>
      <c r="F112" s="244"/>
      <c r="G112" s="244"/>
      <c r="H112" s="244"/>
      <c r="I112" s="326"/>
      <c r="J112" s="244"/>
      <c r="K112" s="279"/>
      <c r="L112" s="244"/>
      <c r="M112" s="244"/>
      <c r="N112" s="244"/>
      <c r="O112" s="244"/>
      <c r="Q112" s="279"/>
      <c r="R112" s="430">
        <v>795391391.8786124</v>
      </c>
      <c r="S112" s="431" t="s">
        <v>272</v>
      </c>
    </row>
    <row r="113" spans="3:19" ht="12.5">
      <c r="C113" s="244"/>
      <c r="D113" s="293"/>
      <c r="E113" s="244"/>
      <c r="F113" s="244"/>
      <c r="G113" s="244"/>
      <c r="H113" s="244"/>
      <c r="I113" s="326"/>
      <c r="J113" s="244"/>
      <c r="K113" s="279"/>
      <c r="L113" s="244"/>
      <c r="M113" s="244"/>
      <c r="N113" s="244"/>
      <c r="O113" s="244"/>
      <c r="Q113" s="279"/>
      <c r="R113" s="366">
        <v>0.254714</v>
      </c>
      <c r="S113" s="424" t="s">
        <v>273</v>
      </c>
    </row>
    <row r="114" spans="3:19" ht="12.5">
      <c r="C114" s="244"/>
      <c r="D114" s="293"/>
      <c r="E114" s="244"/>
      <c r="F114" s="244"/>
      <c r="G114" s="244"/>
      <c r="H114" s="244"/>
      <c r="I114" s="326"/>
      <c r="J114" s="244"/>
      <c r="K114" s="279"/>
      <c r="L114" s="244"/>
      <c r="M114" s="244"/>
      <c r="N114" s="244"/>
      <c r="O114" s="244"/>
      <c r="Q114" s="279"/>
      <c r="R114" s="430">
        <v>0</v>
      </c>
      <c r="S114" s="424" t="s">
        <v>274</v>
      </c>
    </row>
    <row r="115" spans="3:19" ht="12.5">
      <c r="C115" s="244"/>
      <c r="D115" s="293"/>
      <c r="E115" s="244"/>
      <c r="F115" s="244"/>
      <c r="G115" s="244"/>
      <c r="H115" s="244"/>
      <c r="I115" s="326"/>
      <c r="J115" s="244"/>
      <c r="K115" s="279"/>
      <c r="L115" s="244"/>
      <c r="M115" s="244"/>
      <c r="N115" s="244"/>
      <c r="O115" s="244"/>
      <c r="Q115" s="279"/>
      <c r="R115" s="430">
        <v>-788468.85625115747</v>
      </c>
      <c r="S115" s="424" t="s">
        <v>275</v>
      </c>
    </row>
    <row r="116" spans="3:19" ht="12.5">
      <c r="C116" s="244"/>
      <c r="D116" s="293"/>
      <c r="E116" s="244"/>
      <c r="F116" s="244"/>
      <c r="G116" s="244"/>
      <c r="H116" s="244"/>
      <c r="I116" s="326"/>
      <c r="J116" s="244"/>
      <c r="K116" s="279"/>
      <c r="L116" s="244"/>
      <c r="M116" s="244"/>
      <c r="N116" s="244"/>
      <c r="O116" s="244"/>
      <c r="Q116" s="279"/>
      <c r="R116" s="430">
        <v>309117.18454392004</v>
      </c>
      <c r="S116" s="424" t="s">
        <v>276</v>
      </c>
    </row>
    <row r="117" spans="3:19" ht="12.5">
      <c r="C117" s="244"/>
      <c r="D117" s="293"/>
      <c r="E117" s="244"/>
      <c r="F117" s="244"/>
      <c r="G117" s="244"/>
      <c r="H117" s="244"/>
      <c r="I117" s="326"/>
      <c r="J117" s="244"/>
      <c r="K117" s="279"/>
      <c r="L117" s="244"/>
      <c r="M117" s="244"/>
      <c r="N117" s="244"/>
      <c r="O117" s="244"/>
      <c r="Q117" s="279"/>
      <c r="R117" s="430">
        <v>132698856.2997781</v>
      </c>
      <c r="S117" s="424" t="s">
        <v>277</v>
      </c>
    </row>
    <row r="118" spans="3:19" ht="12.5">
      <c r="C118" s="244"/>
      <c r="D118" s="293"/>
      <c r="E118" s="244"/>
      <c r="F118" s="244"/>
      <c r="G118" s="244"/>
      <c r="H118" s="244"/>
      <c r="I118" s="326"/>
      <c r="J118" s="244"/>
      <c r="K118" s="279"/>
      <c r="L118" s="244"/>
      <c r="M118" s="244"/>
      <c r="N118" s="244"/>
      <c r="O118" s="244"/>
      <c r="Q118" s="279"/>
      <c r="R118" s="430">
        <v>60142604.684150115</v>
      </c>
      <c r="S118" s="424" t="s">
        <v>278</v>
      </c>
    </row>
    <row r="119" spans="3:19" ht="12.5">
      <c r="C119" s="244"/>
      <c r="D119" s="293"/>
      <c r="E119" s="244"/>
      <c r="F119" s="244"/>
      <c r="G119" s="244"/>
      <c r="H119" s="244"/>
      <c r="I119" s="326"/>
      <c r="J119" s="244"/>
      <c r="K119" s="279"/>
      <c r="L119" s="244"/>
      <c r="M119" s="244"/>
      <c r="N119" s="244"/>
      <c r="O119" s="244"/>
      <c r="Q119" s="279"/>
      <c r="R119" s="430">
        <v>14919436.036964547</v>
      </c>
      <c r="S119" s="424" t="s">
        <v>279</v>
      </c>
    </row>
    <row r="120" spans="3:19" ht="12.5">
      <c r="C120" s="244"/>
      <c r="D120" s="293"/>
      <c r="E120" s="244"/>
      <c r="F120" s="244"/>
      <c r="G120" s="244"/>
      <c r="H120" s="244"/>
      <c r="I120" s="326"/>
      <c r="J120" s="244"/>
      <c r="K120" s="279"/>
      <c r="L120" s="244"/>
      <c r="M120" s="244"/>
      <c r="N120" s="244"/>
      <c r="O120" s="244"/>
      <c r="Q120" s="279"/>
      <c r="R120" s="430">
        <v>0</v>
      </c>
      <c r="S120" s="424" t="s">
        <v>280</v>
      </c>
    </row>
    <row r="121" spans="3:19" ht="12.5">
      <c r="C121" s="244"/>
      <c r="D121" s="293"/>
      <c r="E121" s="244"/>
      <c r="F121" s="244"/>
      <c r="G121" s="244"/>
      <c r="H121" s="244"/>
      <c r="I121" s="326"/>
      <c r="J121" s="244"/>
      <c r="K121" s="279"/>
      <c r="L121" s="244"/>
      <c r="M121" s="244"/>
      <c r="N121" s="244"/>
      <c r="O121" s="244"/>
      <c r="Q121" s="279"/>
      <c r="R121" s="430">
        <v>30906225.643601935</v>
      </c>
      <c r="S121" s="424" t="s">
        <v>281</v>
      </c>
    </row>
    <row r="122" spans="3:19" ht="12.5">
      <c r="C122" s="244"/>
      <c r="D122" s="293"/>
      <c r="E122" s="244"/>
      <c r="F122" s="244"/>
      <c r="G122" s="244"/>
      <c r="H122" s="244"/>
      <c r="I122" s="326"/>
      <c r="J122" s="244"/>
      <c r="K122" s="279"/>
      <c r="L122" s="244"/>
      <c r="M122" s="244"/>
      <c r="N122" s="244"/>
      <c r="O122" s="244"/>
      <c r="Q122" s="279"/>
      <c r="R122" s="366">
        <v>0</v>
      </c>
      <c r="S122" s="424" t="s">
        <v>104</v>
      </c>
    </row>
    <row r="123" spans="3:19" ht="12.5">
      <c r="C123" s="244"/>
      <c r="D123" s="293"/>
      <c r="E123" s="244"/>
      <c r="F123" s="244"/>
      <c r="G123" s="244"/>
      <c r="H123" s="244"/>
      <c r="I123" s="326"/>
      <c r="J123" s="244"/>
      <c r="K123" s="279"/>
      <c r="L123" s="244"/>
      <c r="M123" s="244"/>
      <c r="N123" s="244"/>
      <c r="O123" s="244"/>
      <c r="Q123" s="279"/>
      <c r="R123" s="430">
        <v>956576295.6876924</v>
      </c>
      <c r="S123" s="424" t="s">
        <v>282</v>
      </c>
    </row>
    <row r="124" spans="3:19" ht="12.5">
      <c r="C124" s="244"/>
      <c r="D124" s="293"/>
      <c r="E124" s="244"/>
      <c r="F124" s="244"/>
      <c r="G124" s="244"/>
      <c r="H124" s="244"/>
      <c r="I124" s="326"/>
      <c r="J124" s="244"/>
      <c r="K124" s="279"/>
      <c r="L124" s="244"/>
      <c r="M124" s="244"/>
      <c r="N124" s="244"/>
      <c r="O124" s="244"/>
      <c r="Q124" s="279"/>
      <c r="R124" s="366">
        <v>0.10641349897030054</v>
      </c>
      <c r="S124" s="432" t="s">
        <v>283</v>
      </c>
    </row>
    <row r="125" spans="3:19" ht="12.5">
      <c r="C125" s="244"/>
      <c r="D125" s="293"/>
      <c r="E125" s="244"/>
      <c r="F125" s="244"/>
      <c r="G125" s="244"/>
      <c r="H125" s="244"/>
      <c r="I125" s="326"/>
      <c r="J125" s="244"/>
      <c r="K125" s="279"/>
      <c r="L125" s="244"/>
      <c r="M125" s="244"/>
      <c r="N125" s="244"/>
      <c r="O125" s="244"/>
      <c r="Q125" s="279"/>
      <c r="R125" s="433">
        <v>1056374505</v>
      </c>
      <c r="S125" s="249" t="s">
        <v>37</v>
      </c>
    </row>
    <row r="126" spans="3:19" ht="12.5">
      <c r="C126" s="244"/>
      <c r="D126" s="293"/>
      <c r="E126" s="244"/>
      <c r="F126" s="244"/>
      <c r="G126" s="244"/>
      <c r="H126" s="244"/>
      <c r="I126" s="326"/>
      <c r="J126" s="244"/>
      <c r="K126" s="279"/>
      <c r="L126" s="244"/>
      <c r="M126" s="244"/>
      <c r="N126" s="244"/>
      <c r="O126" s="244"/>
      <c r="Q126" s="279"/>
      <c r="R126" s="433">
        <v>1184346694</v>
      </c>
      <c r="S126" s="249" t="s">
        <v>38</v>
      </c>
    </row>
    <row r="127" spans="3:19" ht="12.5">
      <c r="C127" s="244"/>
      <c r="D127" s="293"/>
      <c r="E127" s="244"/>
      <c r="F127" s="244"/>
      <c r="G127" s="244"/>
      <c r="H127" s="244"/>
      <c r="I127" s="326"/>
      <c r="J127" s="244"/>
      <c r="K127" s="279"/>
      <c r="L127" s="244"/>
      <c r="M127" s="244"/>
      <c r="N127" s="244"/>
      <c r="O127" s="244"/>
      <c r="Q127" s="279"/>
      <c r="R127" s="433">
        <v>1128777668.0769231</v>
      </c>
      <c r="S127" s="373" t="s">
        <v>285</v>
      </c>
    </row>
    <row r="128" spans="3:19" ht="13" thickBot="1">
      <c r="C128" s="244"/>
      <c r="D128" s="293"/>
      <c r="E128" s="244"/>
      <c r="F128" s="244"/>
      <c r="G128" s="244"/>
      <c r="H128" s="244"/>
      <c r="I128" s="326"/>
      <c r="J128" s="244"/>
      <c r="K128" s="279"/>
      <c r="L128" s="244"/>
      <c r="M128" s="244"/>
      <c r="N128" s="244"/>
      <c r="O128" s="244"/>
      <c r="Q128" s="279"/>
      <c r="R128" s="434">
        <v>32737164</v>
      </c>
      <c r="S128" s="435" t="s">
        <v>284</v>
      </c>
    </row>
    <row r="129" spans="3:19" ht="12.5">
      <c r="C129" s="244"/>
      <c r="D129" s="293"/>
      <c r="E129" s="244"/>
      <c r="F129" s="244"/>
      <c r="G129" s="244"/>
      <c r="H129" s="244"/>
      <c r="I129" s="326"/>
      <c r="J129" s="244"/>
      <c r="K129" s="279"/>
      <c r="L129" s="244"/>
      <c r="M129" s="244"/>
      <c r="N129" s="244"/>
      <c r="O129" s="244"/>
      <c r="Q129" s="279"/>
      <c r="R129" s="244"/>
      <c r="S129" s="244"/>
    </row>
    <row r="130" spans="3:19" ht="13">
      <c r="C130" s="244"/>
      <c r="D130" s="293"/>
      <c r="E130" s="244"/>
      <c r="F130" s="244"/>
      <c r="G130" s="244"/>
      <c r="H130" s="244"/>
      <c r="I130" s="326"/>
      <c r="J130" s="244"/>
      <c r="K130" s="279"/>
      <c r="L130" s="244"/>
      <c r="M130" s="244"/>
      <c r="N130" s="244"/>
      <c r="O130" s="244"/>
      <c r="Q130" s="279"/>
      <c r="R130" s="352" t="s">
        <v>103</v>
      </c>
      <c r="S130" s="244" t="s">
        <v>115</v>
      </c>
    </row>
    <row r="131" spans="3:19" ht="13.5" thickBot="1">
      <c r="C131" s="244"/>
      <c r="D131" s="293"/>
      <c r="E131" s="244"/>
      <c r="F131" s="244"/>
      <c r="G131" s="244"/>
      <c r="H131" s="244"/>
      <c r="I131" s="326"/>
      <c r="J131" s="244"/>
      <c r="K131" s="279"/>
      <c r="L131" s="244"/>
      <c r="M131" s="244"/>
      <c r="N131" s="244"/>
      <c r="O131" s="244"/>
      <c r="Q131" s="279"/>
      <c r="R131" s="354" t="s">
        <v>187</v>
      </c>
      <c r="S131" s="244"/>
    </row>
    <row r="132" spans="3:19" ht="12.5">
      <c r="C132" s="244"/>
      <c r="D132" s="293"/>
      <c r="E132" s="244"/>
      <c r="F132" s="244"/>
      <c r="G132" s="244"/>
      <c r="H132" s="244"/>
      <c r="I132" s="326"/>
      <c r="J132" s="244"/>
      <c r="K132" s="279"/>
      <c r="L132" s="244"/>
      <c r="M132" s="244"/>
      <c r="N132" s="244"/>
      <c r="O132" s="244"/>
      <c r="Q132" s="279"/>
      <c r="R132" s="378">
        <f>+N17</f>
        <v>38282711.552259907</v>
      </c>
      <c r="S132" s="145" t="s">
        <v>120</v>
      </c>
    </row>
    <row r="133" spans="3:19" ht="12.5">
      <c r="C133" s="244"/>
      <c r="D133" s="293"/>
      <c r="E133" s="244"/>
      <c r="F133" s="244"/>
      <c r="G133" s="244"/>
      <c r="H133" s="244"/>
      <c r="I133" s="326"/>
      <c r="J133" s="244"/>
      <c r="K133" s="279"/>
      <c r="L133" s="244"/>
      <c r="M133" s="244"/>
      <c r="N133" s="244"/>
      <c r="O133" s="244"/>
      <c r="Q133" s="279"/>
      <c r="R133" s="379">
        <f>+O17</f>
        <v>38282711.552259907</v>
      </c>
      <c r="S133" s="145" t="s">
        <v>121</v>
      </c>
    </row>
    <row r="134" spans="3:19" ht="12.5">
      <c r="C134" s="244"/>
      <c r="D134" s="293"/>
      <c r="E134" s="244"/>
      <c r="F134" s="244"/>
      <c r="G134" s="244"/>
      <c r="H134" s="244"/>
      <c r="I134" s="326"/>
      <c r="J134" s="244"/>
      <c r="K134" s="279"/>
      <c r="L134" s="244"/>
      <c r="M134" s="244"/>
      <c r="N134" s="244"/>
      <c r="O134" s="244"/>
      <c r="Q134" s="279"/>
      <c r="R134" s="436">
        <f>+N18</f>
        <v>40157878.736548707</v>
      </c>
      <c r="S134" s="145" t="s">
        <v>122</v>
      </c>
    </row>
    <row r="135" spans="3:19" ht="13" thickBot="1">
      <c r="C135" s="244"/>
      <c r="D135" s="293"/>
      <c r="E135" s="244"/>
      <c r="F135" s="244"/>
      <c r="G135" s="244"/>
      <c r="H135" s="244"/>
      <c r="I135" s="326"/>
      <c r="J135" s="244"/>
      <c r="K135" s="279"/>
      <c r="L135" s="244"/>
      <c r="M135" s="244"/>
      <c r="N135" s="244"/>
      <c r="O135" s="244"/>
      <c r="Q135" s="279"/>
      <c r="R135" s="437">
        <f>+O18</f>
        <v>40157878.736548707</v>
      </c>
      <c r="S135" s="145" t="s">
        <v>123</v>
      </c>
    </row>
    <row r="136" spans="3:19" ht="12.5">
      <c r="C136" s="244"/>
      <c r="D136" s="293"/>
      <c r="E136" s="244"/>
      <c r="F136" s="244"/>
      <c r="G136" s="244"/>
      <c r="H136" s="244"/>
      <c r="I136" s="326"/>
      <c r="J136" s="244"/>
      <c r="K136" s="279"/>
      <c r="L136" s="244"/>
      <c r="M136" s="244"/>
      <c r="N136" s="244"/>
      <c r="O136" s="244"/>
      <c r="Q136" s="279"/>
      <c r="R136" s="244"/>
      <c r="S136" s="244"/>
    </row>
    <row r="137" spans="3:19" ht="13">
      <c r="C137" s="244"/>
      <c r="D137" s="293"/>
      <c r="E137" s="244"/>
      <c r="F137" s="244"/>
      <c r="G137" s="244"/>
      <c r="H137" s="244"/>
      <c r="I137" s="326"/>
      <c r="J137" s="244"/>
      <c r="K137" s="279"/>
      <c r="L137" s="244"/>
      <c r="M137" s="244"/>
      <c r="N137" s="244"/>
      <c r="O137" s="244"/>
      <c r="Q137" s="279"/>
      <c r="R137" s="352" t="s">
        <v>113</v>
      </c>
      <c r="S137" s="353"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U163"/>
  <sheetViews>
    <sheetView tabSelected="1" view="pageBreakPreview" zoomScale="70" zoomScaleNormal="100" zoomScaleSheetLayoutView="7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179687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1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t="str">
        <f>RIGHT(N3,3)</f>
        <v/>
      </c>
      <c r="P3" s="443">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82861.19585201345</v>
      </c>
      <c r="P5" s="244"/>
      <c r="R5" s="244"/>
      <c r="S5" s="244"/>
      <c r="T5" s="244"/>
      <c r="U5" s="244"/>
    </row>
    <row r="6" spans="1:21" ht="15.5">
      <c r="C6" s="236"/>
      <c r="D6" s="293"/>
      <c r="E6" s="244"/>
      <c r="F6" s="244"/>
      <c r="G6" s="244"/>
      <c r="H6" s="450"/>
      <c r="I6" s="450"/>
      <c r="J6" s="451"/>
      <c r="K6" s="452" t="s">
        <v>243</v>
      </c>
      <c r="L6" s="453"/>
      <c r="M6" s="279"/>
      <c r="N6" s="454">
        <f>VLOOKUP(I10,C17:I73,6)</f>
        <v>82861.19585201345</v>
      </c>
      <c r="O6" s="244"/>
      <c r="P6" s="244"/>
      <c r="R6" s="244"/>
      <c r="S6" s="244"/>
      <c r="T6" s="244"/>
      <c r="U6" s="244"/>
    </row>
    <row r="7" spans="1:21" ht="13.5" thickBot="1">
      <c r="C7" s="455" t="s">
        <v>46</v>
      </c>
      <c r="D7" s="456" t="s">
        <v>191</v>
      </c>
      <c r="E7" s="331"/>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196</v>
      </c>
      <c r="E9" s="466"/>
      <c r="F9" s="466"/>
      <c r="G9" s="466"/>
      <c r="H9" s="466"/>
      <c r="I9" s="467"/>
      <c r="J9" s="468"/>
      <c r="O9" s="469"/>
      <c r="P9" s="279"/>
      <c r="R9" s="244"/>
      <c r="S9" s="244"/>
      <c r="T9" s="244"/>
      <c r="U9" s="244"/>
    </row>
    <row r="10" spans="1:21" ht="13">
      <c r="C10" s="470" t="s">
        <v>49</v>
      </c>
      <c r="D10" s="471">
        <v>723818</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0.1064171487591708</v>
      </c>
      <c r="J12" s="414"/>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c r="E14" s="279" t="s">
        <v>62</v>
      </c>
      <c r="F14" s="409"/>
      <c r="G14" s="221"/>
      <c r="H14" s="221"/>
      <c r="I14" s="478">
        <f>IF(D10=0,0,D10/D13)</f>
        <v>21288.764705882353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496">
        <f>IF(D11= "","-",D11)</f>
        <v>2010</v>
      </c>
      <c r="D17" s="497">
        <v>767749</v>
      </c>
      <c r="E17" s="498">
        <v>0</v>
      </c>
      <c r="F17" s="497">
        <v>767749</v>
      </c>
      <c r="G17" s="499">
        <v>92753.205799400443</v>
      </c>
      <c r="H17" s="500">
        <v>92753.205799400443</v>
      </c>
      <c r="I17" s="501">
        <f t="shared" ref="I17:I49" si="0">H17-G17</f>
        <v>0</v>
      </c>
      <c r="J17" s="501"/>
      <c r="K17" s="502">
        <f t="shared" ref="K17:K22" si="1">G17</f>
        <v>92753.205799400443</v>
      </c>
      <c r="L17" s="503">
        <f t="shared" ref="L17:L49" si="2">IF(K17&lt;&gt;0,+G17-K17,0)</f>
        <v>0</v>
      </c>
      <c r="M17" s="502">
        <f t="shared" ref="M17:M22" si="3">H17</f>
        <v>92753.205799400443</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767749</v>
      </c>
      <c r="E18" s="499">
        <v>10981.365584860865</v>
      </c>
      <c r="F18" s="506">
        <v>756767.63441513909</v>
      </c>
      <c r="G18" s="499">
        <v>109365.67160279222</v>
      </c>
      <c r="H18" s="500">
        <v>109365.67160279222</v>
      </c>
      <c r="I18" s="501">
        <f t="shared" si="0"/>
        <v>0</v>
      </c>
      <c r="J18" s="501"/>
      <c r="K18" s="507">
        <f t="shared" si="1"/>
        <v>109365.67160279222</v>
      </c>
      <c r="L18" s="508">
        <f t="shared" si="2"/>
        <v>0</v>
      </c>
      <c r="M18" s="507">
        <f t="shared" si="3"/>
        <v>109365.67160279222</v>
      </c>
      <c r="N18" s="505">
        <f t="shared" si="4"/>
        <v>0</v>
      </c>
      <c r="O18" s="505">
        <f t="shared" si="5"/>
        <v>0</v>
      </c>
      <c r="P18" s="279"/>
      <c r="R18" s="244"/>
      <c r="S18" s="244"/>
      <c r="T18" s="244"/>
      <c r="U18" s="244"/>
    </row>
    <row r="19" spans="2:21" ht="12.5">
      <c r="B19" s="145" t="str">
        <f t="shared" ref="B19:B73" si="6">IF(D19=F18,"","IU")</f>
        <v/>
      </c>
      <c r="C19" s="496">
        <f>IF(D11="","-",+C18+1)</f>
        <v>2012</v>
      </c>
      <c r="D19" s="506">
        <v>756767.63441513909</v>
      </c>
      <c r="E19" s="499">
        <v>12221.81530625035</v>
      </c>
      <c r="F19" s="506">
        <v>744545.81910888874</v>
      </c>
      <c r="G19" s="499">
        <v>84179.959434377466</v>
      </c>
      <c r="H19" s="500">
        <v>84179.959434377466</v>
      </c>
      <c r="I19" s="501">
        <v>0</v>
      </c>
      <c r="J19" s="501"/>
      <c r="K19" s="507">
        <f t="shared" si="1"/>
        <v>84179.959434377466</v>
      </c>
      <c r="L19" s="505">
        <f t="shared" si="2"/>
        <v>0</v>
      </c>
      <c r="M19" s="507">
        <f t="shared" si="3"/>
        <v>84179.959434377466</v>
      </c>
      <c r="N19" s="505">
        <f t="shared" si="4"/>
        <v>0</v>
      </c>
      <c r="O19" s="505">
        <f t="shared" si="5"/>
        <v>0</v>
      </c>
      <c r="P19" s="279"/>
      <c r="R19" s="244"/>
      <c r="S19" s="244"/>
      <c r="T19" s="244"/>
      <c r="U19" s="244"/>
    </row>
    <row r="20" spans="2:21" ht="12.5">
      <c r="B20" s="145" t="str">
        <f t="shared" si="6"/>
        <v>IU</v>
      </c>
      <c r="C20" s="496">
        <f>IF(D11="","-",+C19+1)</f>
        <v>2013</v>
      </c>
      <c r="D20" s="506">
        <v>700614.81910888874</v>
      </c>
      <c r="E20" s="499">
        <v>12521.479662412485</v>
      </c>
      <c r="F20" s="506">
        <v>688093.33944647631</v>
      </c>
      <c r="G20" s="499">
        <v>87689.629791132116</v>
      </c>
      <c r="H20" s="500">
        <v>87689.629791132116</v>
      </c>
      <c r="I20" s="501">
        <v>0</v>
      </c>
      <c r="J20" s="501"/>
      <c r="K20" s="507">
        <f t="shared" si="1"/>
        <v>87689.629791132116</v>
      </c>
      <c r="L20" s="505">
        <f t="shared" ref="L20:L25" si="7">IF(K20&lt;&gt;0,+G20-K20,0)</f>
        <v>0</v>
      </c>
      <c r="M20" s="507">
        <f t="shared" si="3"/>
        <v>87689.629791132116</v>
      </c>
      <c r="N20" s="505">
        <f>IF(M20&lt;&gt;0,+H20-M20,0)</f>
        <v>0</v>
      </c>
      <c r="O20" s="505">
        <f>+N20-L20</f>
        <v>0</v>
      </c>
      <c r="P20" s="279"/>
      <c r="R20" s="244"/>
      <c r="S20" s="244"/>
      <c r="T20" s="244"/>
      <c r="U20" s="244"/>
    </row>
    <row r="21" spans="2:21" ht="12.5">
      <c r="B21" s="145" t="str">
        <f t="shared" si="6"/>
        <v/>
      </c>
      <c r="C21" s="496">
        <f>IF(D12="","-",+C20+1)</f>
        <v>2014</v>
      </c>
      <c r="D21" s="506">
        <v>688093.33944647631</v>
      </c>
      <c r="E21" s="499">
        <v>12521.479662412485</v>
      </c>
      <c r="F21" s="506">
        <v>675571.85978406388</v>
      </c>
      <c r="G21" s="499">
        <v>86852.845850246973</v>
      </c>
      <c r="H21" s="500">
        <v>86852.845850246973</v>
      </c>
      <c r="I21" s="501">
        <v>0</v>
      </c>
      <c r="J21" s="501"/>
      <c r="K21" s="507">
        <f t="shared" si="1"/>
        <v>86852.845850246973</v>
      </c>
      <c r="L21" s="505">
        <f t="shared" si="7"/>
        <v>0</v>
      </c>
      <c r="M21" s="507">
        <f t="shared" si="3"/>
        <v>86852.845850246973</v>
      </c>
      <c r="N21" s="505">
        <f>IF(M21&lt;&gt;0,+H21-M21,0)</f>
        <v>0</v>
      </c>
      <c r="O21" s="505">
        <f>+N21-L21</f>
        <v>0</v>
      </c>
      <c r="P21" s="279"/>
      <c r="R21" s="244"/>
      <c r="S21" s="244"/>
      <c r="T21" s="244"/>
      <c r="U21" s="244"/>
    </row>
    <row r="22" spans="2:21" ht="12.5">
      <c r="B22" s="145" t="str">
        <f t="shared" si="6"/>
        <v/>
      </c>
      <c r="C22" s="496">
        <f>IF(D11="","-",+C21+1)</f>
        <v>2015</v>
      </c>
      <c r="D22" s="506">
        <v>675571.85978406388</v>
      </c>
      <c r="E22" s="499">
        <v>12521.479662412485</v>
      </c>
      <c r="F22" s="506">
        <v>663050.38012165145</v>
      </c>
      <c r="G22" s="499">
        <v>80859.057608604737</v>
      </c>
      <c r="H22" s="500">
        <v>80859.057608604737</v>
      </c>
      <c r="I22" s="501">
        <f t="shared" si="0"/>
        <v>0</v>
      </c>
      <c r="J22" s="501"/>
      <c r="K22" s="507">
        <f t="shared" si="1"/>
        <v>80859.057608604737</v>
      </c>
      <c r="L22" s="505">
        <f t="shared" si="7"/>
        <v>0</v>
      </c>
      <c r="M22" s="507">
        <f t="shared" si="3"/>
        <v>80859.057608604737</v>
      </c>
      <c r="N22" s="505">
        <f>IF(M22&lt;&gt;0,+H22-M22,0)</f>
        <v>0</v>
      </c>
      <c r="O22" s="505">
        <f>+N22-L22</f>
        <v>0</v>
      </c>
      <c r="P22" s="279"/>
      <c r="R22" s="244"/>
      <c r="S22" s="244"/>
      <c r="T22" s="244"/>
      <c r="U22" s="244"/>
    </row>
    <row r="23" spans="2:21" ht="12.5">
      <c r="B23" s="145" t="str">
        <f t="shared" si="6"/>
        <v/>
      </c>
      <c r="C23" s="496">
        <f>IF(D11="","-",+C22+1)</f>
        <v>2016</v>
      </c>
      <c r="D23" s="506">
        <v>663050.38012165145</v>
      </c>
      <c r="E23" s="499">
        <v>15040.542945521509</v>
      </c>
      <c r="F23" s="506">
        <v>648009.83717612992</v>
      </c>
      <c r="G23" s="499">
        <v>84948.083991581108</v>
      </c>
      <c r="H23" s="500">
        <v>84948.083991581108</v>
      </c>
      <c r="I23" s="501">
        <f t="shared" si="0"/>
        <v>0</v>
      </c>
      <c r="J23" s="501"/>
      <c r="K23" s="507">
        <f>G23</f>
        <v>84948.083991581108</v>
      </c>
      <c r="L23" s="505">
        <f t="shared" si="7"/>
        <v>0</v>
      </c>
      <c r="M23" s="507">
        <f>H23</f>
        <v>84948.083991581108</v>
      </c>
      <c r="N23" s="505">
        <f t="shared" si="4"/>
        <v>0</v>
      </c>
      <c r="O23" s="505">
        <f t="shared" si="5"/>
        <v>0</v>
      </c>
      <c r="P23" s="279"/>
      <c r="R23" s="244"/>
      <c r="S23" s="244"/>
      <c r="T23" s="244"/>
      <c r="U23" s="244"/>
    </row>
    <row r="24" spans="2:21" ht="12.5">
      <c r="B24" s="145" t="str">
        <f t="shared" si="6"/>
        <v/>
      </c>
      <c r="C24" s="496">
        <f>IF(D11="","-",+C23+1)</f>
        <v>2017</v>
      </c>
      <c r="D24" s="506">
        <v>648009.83717612992</v>
      </c>
      <c r="E24" s="499">
        <v>14231.694883080969</v>
      </c>
      <c r="F24" s="506">
        <v>633778.14229304891</v>
      </c>
      <c r="G24" s="499">
        <v>84691.562397354341</v>
      </c>
      <c r="H24" s="500">
        <v>84691.562397354341</v>
      </c>
      <c r="I24" s="501">
        <f t="shared" si="0"/>
        <v>0</v>
      </c>
      <c r="J24" s="501"/>
      <c r="K24" s="507">
        <f>G24</f>
        <v>84691.562397354341</v>
      </c>
      <c r="L24" s="505">
        <f t="shared" si="7"/>
        <v>0</v>
      </c>
      <c r="M24" s="507">
        <f>H24</f>
        <v>84691.562397354341</v>
      </c>
      <c r="N24" s="505">
        <f>IF(M24&lt;&gt;0,+H24-M24,0)</f>
        <v>0</v>
      </c>
      <c r="O24" s="505">
        <f>+N24-L24</f>
        <v>0</v>
      </c>
      <c r="P24" s="279"/>
      <c r="R24" s="244"/>
      <c r="S24" s="244"/>
      <c r="T24" s="244"/>
      <c r="U24" s="244"/>
    </row>
    <row r="25" spans="2:21" ht="12.5">
      <c r="B25" s="145" t="str">
        <f t="shared" si="6"/>
        <v/>
      </c>
      <c r="C25" s="496">
        <f>IF(D11="","-",+C24+1)</f>
        <v>2018</v>
      </c>
      <c r="D25" s="506">
        <v>633778.14229304891</v>
      </c>
      <c r="E25" s="499">
        <v>17751.333847969061</v>
      </c>
      <c r="F25" s="506">
        <v>616026.80844507983</v>
      </c>
      <c r="G25" s="499">
        <v>91171.767437218194</v>
      </c>
      <c r="H25" s="500">
        <v>91171.767437218194</v>
      </c>
      <c r="I25" s="501">
        <f t="shared" si="0"/>
        <v>0</v>
      </c>
      <c r="J25" s="501"/>
      <c r="K25" s="507">
        <f>G25</f>
        <v>91171.767437218194</v>
      </c>
      <c r="L25" s="505">
        <f t="shared" si="7"/>
        <v>0</v>
      </c>
      <c r="M25" s="507">
        <f>H25</f>
        <v>91171.767437218194</v>
      </c>
      <c r="N25" s="505">
        <f>IF(M25&lt;&gt;0,+H25-M25,0)</f>
        <v>0</v>
      </c>
      <c r="O25" s="505">
        <f>+N25-L25</f>
        <v>0</v>
      </c>
      <c r="P25" s="279"/>
      <c r="R25" s="244"/>
      <c r="S25" s="244"/>
      <c r="T25" s="244"/>
      <c r="U25" s="244"/>
    </row>
    <row r="26" spans="2:21" ht="12.5">
      <c r="B26" s="145" t="str">
        <f t="shared" si="6"/>
        <v/>
      </c>
      <c r="C26" s="496">
        <f>IF(D11="","-",+C25+1)</f>
        <v>2019</v>
      </c>
      <c r="D26" s="506">
        <v>616026.80844507983</v>
      </c>
      <c r="E26" s="499">
        <v>17751.333847969061</v>
      </c>
      <c r="F26" s="506">
        <v>598275.47459711076</v>
      </c>
      <c r="G26" s="499">
        <v>89086.144993274967</v>
      </c>
      <c r="H26" s="500">
        <v>89086.144993274967</v>
      </c>
      <c r="I26" s="501">
        <f t="shared" si="0"/>
        <v>0</v>
      </c>
      <c r="J26" s="501"/>
      <c r="K26" s="507">
        <f>G26</f>
        <v>89086.144993274967</v>
      </c>
      <c r="L26" s="505">
        <f t="shared" ref="L26" si="8">IF(K26&lt;&gt;0,+G26-K26,0)</f>
        <v>0</v>
      </c>
      <c r="M26" s="507">
        <f>H26</f>
        <v>89086.144993274967</v>
      </c>
      <c r="N26" s="505">
        <f>IF(M26&lt;&gt;0,+H26-M26,0)</f>
        <v>0</v>
      </c>
      <c r="O26" s="505">
        <f>+N26-L26</f>
        <v>0</v>
      </c>
      <c r="P26" s="279"/>
      <c r="R26" s="244"/>
      <c r="S26" s="244"/>
      <c r="T26" s="244"/>
      <c r="U26" s="244"/>
    </row>
    <row r="27" spans="2:21" ht="12.5">
      <c r="B27" s="145" t="str">
        <f t="shared" si="6"/>
        <v/>
      </c>
      <c r="C27" s="496">
        <f>IF(D11="","-",+C26+1)</f>
        <v>2020</v>
      </c>
      <c r="D27" s="506">
        <v>598275.47459711076</v>
      </c>
      <c r="E27" s="499">
        <v>21194.679776158337</v>
      </c>
      <c r="F27" s="506">
        <v>577080.79482095246</v>
      </c>
      <c r="G27" s="499">
        <v>82861.19585201345</v>
      </c>
      <c r="H27" s="500">
        <v>82861.19585201345</v>
      </c>
      <c r="I27" s="501">
        <f t="shared" si="0"/>
        <v>0</v>
      </c>
      <c r="J27" s="501"/>
      <c r="K27" s="507">
        <f>G27</f>
        <v>82861.19585201345</v>
      </c>
      <c r="L27" s="505">
        <f t="shared" ref="L27" si="9">IF(K27&lt;&gt;0,+G27-K27,0)</f>
        <v>0</v>
      </c>
      <c r="M27" s="507">
        <f>H27</f>
        <v>82861.19585201345</v>
      </c>
      <c r="N27" s="505">
        <f>IF(M27&lt;&gt;0,+H27-M27,0)</f>
        <v>0</v>
      </c>
      <c r="O27" s="505">
        <f t="shared" si="5"/>
        <v>0</v>
      </c>
      <c r="P27" s="279"/>
      <c r="R27" s="244"/>
      <c r="S27" s="244"/>
      <c r="T27" s="244"/>
      <c r="U27" s="244"/>
    </row>
    <row r="28" spans="2:21" ht="12.5">
      <c r="B28" s="145" t="str">
        <f t="shared" si="6"/>
        <v/>
      </c>
      <c r="C28" s="496">
        <f>IF(D11="","-",+C27+1)</f>
        <v>2021</v>
      </c>
      <c r="D28" s="509">
        <f>IF(F27+SUM(E$17:E27)=D$10,F27,D$10-SUM(E$17:E27))</f>
        <v>577080.79482095246</v>
      </c>
      <c r="E28" s="510">
        <f>IF(+I14&lt;F27,I14,D28)</f>
        <v>21288.764705882353</v>
      </c>
      <c r="F28" s="511">
        <f t="shared" ref="F28:F49" si="10">+D28-E28</f>
        <v>555792.03011507005</v>
      </c>
      <c r="G28" s="512">
        <f t="shared" ref="G28:G73" si="11">(D28+F28)/2*I$12+E28</f>
        <v>81567.312674101733</v>
      </c>
      <c r="H28" s="478">
        <f t="shared" ref="H28:H73" si="12">+(D28+F28)/2*I$13+E28</f>
        <v>81567.312674101733</v>
      </c>
      <c r="I28" s="501">
        <f t="shared" si="0"/>
        <v>0</v>
      </c>
      <c r="J28" s="501"/>
      <c r="K28" s="513"/>
      <c r="L28" s="505">
        <f t="shared" si="2"/>
        <v>0</v>
      </c>
      <c r="M28" s="513"/>
      <c r="N28" s="505">
        <f t="shared" si="4"/>
        <v>0</v>
      </c>
      <c r="O28" s="505">
        <f t="shared" si="5"/>
        <v>0</v>
      </c>
      <c r="P28" s="279"/>
      <c r="R28" s="244"/>
      <c r="S28" s="244"/>
      <c r="T28" s="244"/>
      <c r="U28" s="244"/>
    </row>
    <row r="29" spans="2:21" ht="12.5">
      <c r="B29" s="145" t="str">
        <f t="shared" si="6"/>
        <v/>
      </c>
      <c r="C29" s="496">
        <f>IF(D11="","-",+C28+1)</f>
        <v>2022</v>
      </c>
      <c r="D29" s="509">
        <f>IF(F28+SUM(E$17:E28)=D$10,F28,D$10-SUM(E$17:E28))</f>
        <v>555792.03011507005</v>
      </c>
      <c r="E29" s="510">
        <f>IF(+I14&lt;F28,I14,D29)</f>
        <v>21288.764705882353</v>
      </c>
      <c r="F29" s="511">
        <f t="shared" si="10"/>
        <v>534503.26540918765</v>
      </c>
      <c r="G29" s="512">
        <f t="shared" si="11"/>
        <v>79301.823033496868</v>
      </c>
      <c r="H29" s="478">
        <f t="shared" si="12"/>
        <v>79301.823033496868</v>
      </c>
      <c r="I29" s="501">
        <f t="shared" si="0"/>
        <v>0</v>
      </c>
      <c r="J29" s="501"/>
      <c r="K29" s="513"/>
      <c r="L29" s="505">
        <f t="shared" si="2"/>
        <v>0</v>
      </c>
      <c r="M29" s="513"/>
      <c r="N29" s="505">
        <f t="shared" si="4"/>
        <v>0</v>
      </c>
      <c r="O29" s="505">
        <f t="shared" si="5"/>
        <v>0</v>
      </c>
      <c r="P29" s="279"/>
      <c r="R29" s="244"/>
      <c r="S29" s="244"/>
      <c r="T29" s="244"/>
      <c r="U29" s="244"/>
    </row>
    <row r="30" spans="2:21" ht="12.5">
      <c r="B30" s="145" t="str">
        <f t="shared" si="6"/>
        <v/>
      </c>
      <c r="C30" s="496">
        <f>IF(D11="","-",+C29+1)</f>
        <v>2023</v>
      </c>
      <c r="D30" s="509">
        <f>IF(F29+SUM(E$17:E29)=D$10,F29,D$10-SUM(E$17:E29))</f>
        <v>534503.26540918765</v>
      </c>
      <c r="E30" s="510">
        <f>IF(+I14&lt;F29,I14,D30)</f>
        <v>21288.764705882353</v>
      </c>
      <c r="F30" s="511">
        <f t="shared" si="10"/>
        <v>513214.5007033053</v>
      </c>
      <c r="G30" s="512">
        <f t="shared" si="11"/>
        <v>77036.333392891989</v>
      </c>
      <c r="H30" s="478">
        <f t="shared" si="12"/>
        <v>77036.333392891989</v>
      </c>
      <c r="I30" s="501">
        <f t="shared" si="0"/>
        <v>0</v>
      </c>
      <c r="J30" s="501"/>
      <c r="K30" s="513"/>
      <c r="L30" s="505">
        <f t="shared" si="2"/>
        <v>0</v>
      </c>
      <c r="M30" s="513"/>
      <c r="N30" s="505">
        <f t="shared" si="4"/>
        <v>0</v>
      </c>
      <c r="O30" s="505">
        <f t="shared" si="5"/>
        <v>0</v>
      </c>
      <c r="P30" s="279"/>
      <c r="R30" s="244"/>
      <c r="S30" s="244"/>
      <c r="T30" s="244"/>
      <c r="U30" s="244"/>
    </row>
    <row r="31" spans="2:21" ht="12.5">
      <c r="B31" s="145" t="str">
        <f t="shared" si="6"/>
        <v/>
      </c>
      <c r="C31" s="496">
        <f>IF(D11="","-",+C30+1)</f>
        <v>2024</v>
      </c>
      <c r="D31" s="509">
        <f>IF(F30+SUM(E$17:E30)=D$10,F30,D$10-SUM(E$17:E30))</f>
        <v>513214.5007033053</v>
      </c>
      <c r="E31" s="510">
        <f>IF(+I14&lt;F30,I14,D31)</f>
        <v>21288.764705882353</v>
      </c>
      <c r="F31" s="511">
        <f t="shared" si="10"/>
        <v>491925.73599742295</v>
      </c>
      <c r="G31" s="512">
        <f t="shared" si="11"/>
        <v>74770.843752287125</v>
      </c>
      <c r="H31" s="478">
        <f t="shared" si="12"/>
        <v>74770.843752287125</v>
      </c>
      <c r="I31" s="501">
        <f t="shared" si="0"/>
        <v>0</v>
      </c>
      <c r="J31" s="501"/>
      <c r="K31" s="513"/>
      <c r="L31" s="505">
        <f t="shared" si="2"/>
        <v>0</v>
      </c>
      <c r="M31" s="513"/>
      <c r="N31" s="505">
        <f t="shared" si="4"/>
        <v>0</v>
      </c>
      <c r="O31" s="505">
        <f t="shared" si="5"/>
        <v>0</v>
      </c>
      <c r="P31" s="279"/>
      <c r="Q31" s="221"/>
      <c r="R31" s="279"/>
      <c r="S31" s="279"/>
      <c r="T31" s="279"/>
      <c r="U31" s="244"/>
    </row>
    <row r="32" spans="2:21" ht="12.5">
      <c r="C32" s="496">
        <f>IF(D12="","-",+C31+1)</f>
        <v>2025</v>
      </c>
      <c r="D32" s="509">
        <f>IF(F31+SUM(E$17:E31)=D$10,F31,D$10-SUM(E$17:E31))</f>
        <v>491925.73599742295</v>
      </c>
      <c r="E32" s="510">
        <f>IF(+I14&lt;F31,I14,D32)</f>
        <v>21288.764705882353</v>
      </c>
      <c r="F32" s="511">
        <f>+D32-E32</f>
        <v>470636.9712915406</v>
      </c>
      <c r="G32" s="512">
        <f t="shared" si="11"/>
        <v>72505.35411168226</v>
      </c>
      <c r="H32" s="478">
        <f t="shared" si="12"/>
        <v>72505.35411168226</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IF(D33=F31,"","IU")</f>
        <v/>
      </c>
      <c r="C33" s="496">
        <f>IF(D13="","-",+C32+1)</f>
        <v>2026</v>
      </c>
      <c r="D33" s="509">
        <f>IF(F31+SUM(E$17:E31)=D$10,F31,D$10-SUM(E$17:E31))</f>
        <v>491925.73599742295</v>
      </c>
      <c r="E33" s="510">
        <f>IF(+I14&lt;F31,I14,D33)</f>
        <v>21288.764705882353</v>
      </c>
      <c r="F33" s="511">
        <f t="shared" si="10"/>
        <v>470636.9712915406</v>
      </c>
      <c r="G33" s="512">
        <f t="shared" si="11"/>
        <v>72505.35411168226</v>
      </c>
      <c r="H33" s="478">
        <f t="shared" si="12"/>
        <v>72505.35411168226</v>
      </c>
      <c r="I33" s="501">
        <f t="shared" si="0"/>
        <v>0</v>
      </c>
      <c r="J33" s="501"/>
      <c r="K33" s="513"/>
      <c r="L33" s="505">
        <f t="shared" si="2"/>
        <v>0</v>
      </c>
      <c r="M33" s="513"/>
      <c r="N33" s="505">
        <f t="shared" si="4"/>
        <v>0</v>
      </c>
      <c r="O33" s="505">
        <f t="shared" si="5"/>
        <v>0</v>
      </c>
      <c r="P33" s="279"/>
      <c r="R33" s="244"/>
      <c r="S33" s="244"/>
      <c r="T33" s="244"/>
      <c r="U33" s="244"/>
    </row>
    <row r="34" spans="2:21" ht="12.5">
      <c r="B34" s="145" t="str">
        <f>IF(D34=F33,"","IU")</f>
        <v>IU</v>
      </c>
      <c r="C34" s="514">
        <f>IF(D11="","-",+C33+1)</f>
        <v>2027</v>
      </c>
      <c r="D34" s="515">
        <f>IF(F33+SUM(E$17:E33)=D$10,F33,D$10-SUM(E$17:E33))</f>
        <v>449348.20658565831</v>
      </c>
      <c r="E34" s="516">
        <f>IF(+I14&lt;F33,I14,D34)</f>
        <v>21288.764705882353</v>
      </c>
      <c r="F34" s="517">
        <f t="shared" si="10"/>
        <v>428059.44187977596</v>
      </c>
      <c r="G34" s="518">
        <f t="shared" si="11"/>
        <v>67974.37483047253</v>
      </c>
      <c r="H34" s="519">
        <f t="shared" si="12"/>
        <v>67974.37483047253</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428059.44187977596</v>
      </c>
      <c r="E35" s="510">
        <f>IF(+I14&lt;F34,I14,D35)</f>
        <v>21288.764705882353</v>
      </c>
      <c r="F35" s="511">
        <f t="shared" si="10"/>
        <v>406770.67717389361</v>
      </c>
      <c r="G35" s="512">
        <f t="shared" si="11"/>
        <v>65708.885189867666</v>
      </c>
      <c r="H35" s="478">
        <f t="shared" si="12"/>
        <v>65708.885189867666</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406770.67717389361</v>
      </c>
      <c r="E36" s="510">
        <f>IF(+I14&lt;F35,I14,D36)</f>
        <v>21288.764705882353</v>
      </c>
      <c r="F36" s="511">
        <f t="shared" si="10"/>
        <v>385481.91246801126</v>
      </c>
      <c r="G36" s="512">
        <f t="shared" si="11"/>
        <v>63443.395549262801</v>
      </c>
      <c r="H36" s="478">
        <f t="shared" si="12"/>
        <v>63443.395549262801</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385481.91246801126</v>
      </c>
      <c r="E37" s="510">
        <f>IF(+I14&lt;F36,I14,D37)</f>
        <v>21288.764705882353</v>
      </c>
      <c r="F37" s="511">
        <f t="shared" si="10"/>
        <v>364193.14776212891</v>
      </c>
      <c r="G37" s="512">
        <f t="shared" si="11"/>
        <v>61177.905908657922</v>
      </c>
      <c r="H37" s="478">
        <f t="shared" si="12"/>
        <v>61177.905908657922</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364193.14776212891</v>
      </c>
      <c r="E38" s="510">
        <f>IF(+I14&lt;F37,I14,D38)</f>
        <v>21288.764705882353</v>
      </c>
      <c r="F38" s="511">
        <f t="shared" si="10"/>
        <v>342904.38305624656</v>
      </c>
      <c r="G38" s="512">
        <f t="shared" si="11"/>
        <v>58912.416268053072</v>
      </c>
      <c r="H38" s="478">
        <f t="shared" si="12"/>
        <v>58912.416268053072</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342904.38305624656</v>
      </c>
      <c r="E39" s="510">
        <f>IF(+I14&lt;F38,I14,D39)</f>
        <v>21288.764705882353</v>
      </c>
      <c r="F39" s="511">
        <f t="shared" si="10"/>
        <v>321615.61835036421</v>
      </c>
      <c r="G39" s="512">
        <f t="shared" si="11"/>
        <v>56646.926627448192</v>
      </c>
      <c r="H39" s="478">
        <f t="shared" si="12"/>
        <v>56646.926627448192</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321615.61835036421</v>
      </c>
      <c r="E40" s="510">
        <f>IF(+I14&lt;F39,I14,D40)</f>
        <v>21288.764705882353</v>
      </c>
      <c r="F40" s="511">
        <f t="shared" si="10"/>
        <v>300326.85364448186</v>
      </c>
      <c r="G40" s="512">
        <f t="shared" si="11"/>
        <v>54381.436986843328</v>
      </c>
      <c r="H40" s="478">
        <f t="shared" si="12"/>
        <v>54381.436986843328</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300326.85364448186</v>
      </c>
      <c r="E41" s="510">
        <f>IF(+I14&lt;F40,I14,D41)</f>
        <v>21288.764705882353</v>
      </c>
      <c r="F41" s="511">
        <f t="shared" si="10"/>
        <v>279038.08893859951</v>
      </c>
      <c r="G41" s="512">
        <f t="shared" si="11"/>
        <v>52115.947346238463</v>
      </c>
      <c r="H41" s="478">
        <f t="shared" si="12"/>
        <v>52115.947346238463</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279038.08893859951</v>
      </c>
      <c r="E42" s="510">
        <f>IF(+I14&lt;F41,I14,D42)</f>
        <v>21288.764705882353</v>
      </c>
      <c r="F42" s="511">
        <f t="shared" si="10"/>
        <v>257749.32423271716</v>
      </c>
      <c r="G42" s="512">
        <f t="shared" si="11"/>
        <v>49850.457705633598</v>
      </c>
      <c r="H42" s="478">
        <f t="shared" si="12"/>
        <v>49850.457705633598</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257749.32423271716</v>
      </c>
      <c r="E43" s="510">
        <f>IF(+I14&lt;F42,I14,D43)</f>
        <v>21288.764705882353</v>
      </c>
      <c r="F43" s="511">
        <f t="shared" si="10"/>
        <v>236460.55952683481</v>
      </c>
      <c r="G43" s="512">
        <f t="shared" si="11"/>
        <v>47584.968065028734</v>
      </c>
      <c r="H43" s="478">
        <f t="shared" si="12"/>
        <v>47584.968065028734</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236460.55952683481</v>
      </c>
      <c r="E44" s="510">
        <f>IF(+I14&lt;F43,I14,D44)</f>
        <v>21288.764705882353</v>
      </c>
      <c r="F44" s="511">
        <f t="shared" si="10"/>
        <v>215171.79482095246</v>
      </c>
      <c r="G44" s="512">
        <f t="shared" si="11"/>
        <v>45319.478424423862</v>
      </c>
      <c r="H44" s="478">
        <f t="shared" si="12"/>
        <v>45319.478424423862</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215171.79482095246</v>
      </c>
      <c r="E45" s="510">
        <f>IF(+I14&lt;F44,I14,D45)</f>
        <v>21288.764705882353</v>
      </c>
      <c r="F45" s="511">
        <f t="shared" si="10"/>
        <v>193883.03011507011</v>
      </c>
      <c r="G45" s="512">
        <f t="shared" si="11"/>
        <v>43053.98878381899</v>
      </c>
      <c r="H45" s="478">
        <f t="shared" si="12"/>
        <v>43053.98878381899</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193883.03011507011</v>
      </c>
      <c r="E46" s="510">
        <f>IF(+I14&lt;F45,I14,D46)</f>
        <v>21288.764705882353</v>
      </c>
      <c r="F46" s="511">
        <f t="shared" si="10"/>
        <v>172594.26540918776</v>
      </c>
      <c r="G46" s="512">
        <f t="shared" si="11"/>
        <v>40788.499143214125</v>
      </c>
      <c r="H46" s="478">
        <f t="shared" si="12"/>
        <v>40788.499143214125</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172594.26540918776</v>
      </c>
      <c r="E47" s="510">
        <f>IF(+I14&lt;F46,I14,D47)</f>
        <v>21288.764705882353</v>
      </c>
      <c r="F47" s="511">
        <f t="shared" si="10"/>
        <v>151305.50070330541</v>
      </c>
      <c r="G47" s="512">
        <f t="shared" si="11"/>
        <v>38523.00950260926</v>
      </c>
      <c r="H47" s="478">
        <f t="shared" si="12"/>
        <v>38523.00950260926</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151305.50070330541</v>
      </c>
      <c r="E48" s="510">
        <f>IF(+I14&lt;F47,I14,D48)</f>
        <v>21288.764705882353</v>
      </c>
      <c r="F48" s="511">
        <f t="shared" si="10"/>
        <v>130016.73599742306</v>
      </c>
      <c r="G48" s="512">
        <f t="shared" si="11"/>
        <v>36257.519862004396</v>
      </c>
      <c r="H48" s="478">
        <f t="shared" si="12"/>
        <v>36257.519862004396</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130016.73599742306</v>
      </c>
      <c r="E49" s="510">
        <f>IF(+I14&lt;F48,I14,D49)</f>
        <v>21288.764705882353</v>
      </c>
      <c r="F49" s="511">
        <f t="shared" si="10"/>
        <v>108727.97129154071</v>
      </c>
      <c r="G49" s="512">
        <f t="shared" si="11"/>
        <v>33992.030221399531</v>
      </c>
      <c r="H49" s="478">
        <f t="shared" si="12"/>
        <v>33992.030221399531</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108727.97129154071</v>
      </c>
      <c r="E50" s="510">
        <f>IF(+I14&lt;F49,I14,D50)</f>
        <v>21288.764705882353</v>
      </c>
      <c r="F50" s="511">
        <f t="shared" ref="F50:F73" si="13">+D50-E50</f>
        <v>87439.206585658365</v>
      </c>
      <c r="G50" s="512">
        <f t="shared" si="11"/>
        <v>31726.540580794659</v>
      </c>
      <c r="H50" s="478">
        <f t="shared" si="12"/>
        <v>31726.540580794659</v>
      </c>
      <c r="I50" s="501">
        <f t="shared" ref="I50:I73" si="14">H50-G50</f>
        <v>0</v>
      </c>
      <c r="J50" s="501"/>
      <c r="K50" s="513"/>
      <c r="L50" s="505">
        <f t="shared" ref="L50:L73" si="15">IF(K50&lt;&gt;0,+G50-K50,0)</f>
        <v>0</v>
      </c>
      <c r="M50" s="513"/>
      <c r="N50" s="505">
        <f t="shared" ref="N50:N73" si="16">IF(M50&lt;&gt;0,+H50-M50,0)</f>
        <v>0</v>
      </c>
      <c r="O50" s="505">
        <f t="shared" ref="O50:O73" si="17">+N50-L50</f>
        <v>0</v>
      </c>
      <c r="P50" s="279"/>
      <c r="R50" s="244"/>
      <c r="S50" s="244"/>
      <c r="T50" s="244"/>
      <c r="U50" s="244"/>
    </row>
    <row r="51" spans="2:21" ht="12.5">
      <c r="B51" s="145" t="str">
        <f t="shared" si="6"/>
        <v/>
      </c>
      <c r="C51" s="496">
        <f>IF(D11="","-",+C50+1)</f>
        <v>2044</v>
      </c>
      <c r="D51" s="509">
        <f>IF(F50+SUM(E$17:E50)=D$10,F50,D$10-SUM(E$17:E50))</f>
        <v>87439.206585658365</v>
      </c>
      <c r="E51" s="510">
        <f>IF(+I14&lt;F50,I14,D51)</f>
        <v>21288.764705882353</v>
      </c>
      <c r="F51" s="511">
        <f t="shared" si="13"/>
        <v>66150.441879776015</v>
      </c>
      <c r="G51" s="512">
        <f t="shared" si="11"/>
        <v>29461.050940189794</v>
      </c>
      <c r="H51" s="478">
        <f t="shared" si="12"/>
        <v>29461.050940189794</v>
      </c>
      <c r="I51" s="501">
        <f t="shared" si="14"/>
        <v>0</v>
      </c>
      <c r="J51" s="501"/>
      <c r="K51" s="513"/>
      <c r="L51" s="505">
        <f t="shared" si="15"/>
        <v>0</v>
      </c>
      <c r="M51" s="513"/>
      <c r="N51" s="505">
        <f t="shared" si="16"/>
        <v>0</v>
      </c>
      <c r="O51" s="505">
        <f t="shared" si="17"/>
        <v>0</v>
      </c>
      <c r="P51" s="279"/>
      <c r="R51" s="244"/>
      <c r="S51" s="244"/>
      <c r="T51" s="244"/>
      <c r="U51" s="244"/>
    </row>
    <row r="52" spans="2:21" ht="12.5">
      <c r="B52" s="145" t="str">
        <f t="shared" si="6"/>
        <v/>
      </c>
      <c r="C52" s="496">
        <f>IF(D11="","-",+C51+1)</f>
        <v>2045</v>
      </c>
      <c r="D52" s="509">
        <f>IF(F51+SUM(E$17:E51)=D$10,F51,D$10-SUM(E$17:E51))</f>
        <v>66150.441879776015</v>
      </c>
      <c r="E52" s="510">
        <f>IF(+I14&lt;F51,I14,D52)</f>
        <v>21288.764705882353</v>
      </c>
      <c r="F52" s="511">
        <f t="shared" si="13"/>
        <v>44861.677173893666</v>
      </c>
      <c r="G52" s="512">
        <f t="shared" si="11"/>
        <v>27195.561299584926</v>
      </c>
      <c r="H52" s="478">
        <f t="shared" si="12"/>
        <v>27195.561299584926</v>
      </c>
      <c r="I52" s="501">
        <f t="shared" si="14"/>
        <v>0</v>
      </c>
      <c r="J52" s="501"/>
      <c r="K52" s="513"/>
      <c r="L52" s="505">
        <f t="shared" si="15"/>
        <v>0</v>
      </c>
      <c r="M52" s="513"/>
      <c r="N52" s="505">
        <f t="shared" si="16"/>
        <v>0</v>
      </c>
      <c r="O52" s="505">
        <f t="shared" si="17"/>
        <v>0</v>
      </c>
      <c r="P52" s="279"/>
      <c r="R52" s="244"/>
      <c r="S52" s="244"/>
      <c r="T52" s="244"/>
      <c r="U52" s="244"/>
    </row>
    <row r="53" spans="2:21" ht="12.5">
      <c r="B53" s="145" t="str">
        <f t="shared" si="6"/>
        <v/>
      </c>
      <c r="C53" s="496">
        <f>IF(D11="","-",+C52+1)</f>
        <v>2046</v>
      </c>
      <c r="D53" s="509">
        <f>IF(F52+SUM(E$17:E52)=D$10,F52,D$10-SUM(E$17:E52))</f>
        <v>44861.677173893666</v>
      </c>
      <c r="E53" s="510">
        <f>IF(+I14&lt;F52,I14,D53)</f>
        <v>21288.764705882353</v>
      </c>
      <c r="F53" s="511">
        <f t="shared" si="13"/>
        <v>23572.912468011313</v>
      </c>
      <c r="G53" s="512">
        <f t="shared" si="11"/>
        <v>24930.071658980058</v>
      </c>
      <c r="H53" s="478">
        <f t="shared" si="12"/>
        <v>24930.071658980058</v>
      </c>
      <c r="I53" s="501">
        <f t="shared" si="14"/>
        <v>0</v>
      </c>
      <c r="J53" s="501"/>
      <c r="K53" s="513"/>
      <c r="L53" s="505">
        <f t="shared" si="15"/>
        <v>0</v>
      </c>
      <c r="M53" s="513"/>
      <c r="N53" s="505">
        <f t="shared" si="16"/>
        <v>0</v>
      </c>
      <c r="O53" s="505">
        <f t="shared" si="17"/>
        <v>0</v>
      </c>
      <c r="P53" s="279"/>
      <c r="R53" s="244"/>
      <c r="S53" s="244"/>
      <c r="T53" s="244"/>
      <c r="U53" s="244"/>
    </row>
    <row r="54" spans="2:21" ht="12.5">
      <c r="B54" s="145" t="str">
        <f t="shared" si="6"/>
        <v/>
      </c>
      <c r="C54" s="496">
        <f>IF(D11="","-",+C53+1)</f>
        <v>2047</v>
      </c>
      <c r="D54" s="509">
        <f>IF(F53+SUM(E$17:E53)=D$10,F53,D$10-SUM(E$17:E53))</f>
        <v>23572.912468011313</v>
      </c>
      <c r="E54" s="510">
        <f>IF(+I14&lt;F53,I14,D54)</f>
        <v>21288.764705882353</v>
      </c>
      <c r="F54" s="511">
        <f t="shared" si="13"/>
        <v>2284.1477621289596</v>
      </c>
      <c r="G54" s="512">
        <f t="shared" si="11"/>
        <v>22664.582018375193</v>
      </c>
      <c r="H54" s="478">
        <f t="shared" si="12"/>
        <v>22664.582018375193</v>
      </c>
      <c r="I54" s="501">
        <f t="shared" si="14"/>
        <v>0</v>
      </c>
      <c r="J54" s="501"/>
      <c r="K54" s="513"/>
      <c r="L54" s="505">
        <f t="shared" si="15"/>
        <v>0</v>
      </c>
      <c r="M54" s="513"/>
      <c r="N54" s="505">
        <f t="shared" si="16"/>
        <v>0</v>
      </c>
      <c r="O54" s="505">
        <f t="shared" si="17"/>
        <v>0</v>
      </c>
      <c r="P54" s="279"/>
      <c r="R54" s="244"/>
      <c r="S54" s="244"/>
      <c r="T54" s="244"/>
      <c r="U54" s="244"/>
    </row>
    <row r="55" spans="2:21" ht="12.5">
      <c r="B55" s="145" t="str">
        <f t="shared" si="6"/>
        <v>IU</v>
      </c>
      <c r="C55" s="496">
        <f>IF(D11="","-",+C54+1)</f>
        <v>2048</v>
      </c>
      <c r="D55" s="509">
        <f>IF(F54+SUM(E$17:E54)=D$10,F54,D$10-SUM(E$17:E54))</f>
        <v>2284.1477621283848</v>
      </c>
      <c r="E55" s="510">
        <f>IF(+I14&lt;F54,I14,D55)</f>
        <v>2284.1477621283848</v>
      </c>
      <c r="F55" s="511">
        <f t="shared" si="13"/>
        <v>0</v>
      </c>
      <c r="G55" s="512">
        <f t="shared" si="11"/>
        <v>2405.6840082235567</v>
      </c>
      <c r="H55" s="478">
        <f t="shared" si="12"/>
        <v>2405.6840082235567</v>
      </c>
      <c r="I55" s="501">
        <f t="shared" si="14"/>
        <v>0</v>
      </c>
      <c r="J55" s="501"/>
      <c r="K55" s="513"/>
      <c r="L55" s="505">
        <f t="shared" si="15"/>
        <v>0</v>
      </c>
      <c r="M55" s="513"/>
      <c r="N55" s="505">
        <f t="shared" si="16"/>
        <v>0</v>
      </c>
      <c r="O55" s="505">
        <f t="shared" si="17"/>
        <v>0</v>
      </c>
      <c r="P55" s="279"/>
      <c r="R55" s="244"/>
      <c r="S55" s="244"/>
      <c r="T55" s="244"/>
      <c r="U55" s="244"/>
    </row>
    <row r="56" spans="2:21" ht="12.5">
      <c r="B56" s="145" t="str">
        <f t="shared" si="6"/>
        <v/>
      </c>
      <c r="C56" s="496">
        <f>IF(D11="","-",+C55+1)</f>
        <v>2049</v>
      </c>
      <c r="D56" s="509">
        <f>IF(F55+SUM(E$17:E55)=D$10,F55,D$10-SUM(E$17:E55))</f>
        <v>0</v>
      </c>
      <c r="E56" s="510">
        <f>IF(+I14&lt;F55,I14,D56)</f>
        <v>0</v>
      </c>
      <c r="F56" s="511">
        <f t="shared" si="13"/>
        <v>0</v>
      </c>
      <c r="G56" s="512">
        <f t="shared" si="11"/>
        <v>0</v>
      </c>
      <c r="H56" s="478">
        <f t="shared" si="12"/>
        <v>0</v>
      </c>
      <c r="I56" s="501">
        <f t="shared" si="14"/>
        <v>0</v>
      </c>
      <c r="J56" s="501"/>
      <c r="K56" s="513"/>
      <c r="L56" s="505">
        <f t="shared" si="15"/>
        <v>0</v>
      </c>
      <c r="M56" s="513"/>
      <c r="N56" s="505">
        <f t="shared" si="16"/>
        <v>0</v>
      </c>
      <c r="O56" s="505">
        <f t="shared" si="17"/>
        <v>0</v>
      </c>
      <c r="P56" s="279"/>
      <c r="R56" s="244"/>
      <c r="S56" s="244"/>
      <c r="T56" s="244"/>
      <c r="U56" s="244"/>
    </row>
    <row r="57" spans="2:21" ht="12.5">
      <c r="B57" s="145" t="str">
        <f t="shared" si="6"/>
        <v/>
      </c>
      <c r="C57" s="496">
        <f>IF(D11="","-",+C56+1)</f>
        <v>2050</v>
      </c>
      <c r="D57" s="509">
        <f>IF(F56+SUM(E$17:E56)=D$10,F56,D$10-SUM(E$17:E56))</f>
        <v>0</v>
      </c>
      <c r="E57" s="510">
        <f>IF(+I14&lt;F56,I14,D57)</f>
        <v>0</v>
      </c>
      <c r="F57" s="511">
        <f t="shared" si="13"/>
        <v>0</v>
      </c>
      <c r="G57" s="512">
        <f t="shared" si="11"/>
        <v>0</v>
      </c>
      <c r="H57" s="478">
        <f t="shared" si="12"/>
        <v>0</v>
      </c>
      <c r="I57" s="501">
        <f t="shared" si="14"/>
        <v>0</v>
      </c>
      <c r="J57" s="501"/>
      <c r="K57" s="513"/>
      <c r="L57" s="505">
        <f t="shared" si="15"/>
        <v>0</v>
      </c>
      <c r="M57" s="513"/>
      <c r="N57" s="505">
        <f t="shared" si="16"/>
        <v>0</v>
      </c>
      <c r="O57" s="505">
        <f t="shared" si="17"/>
        <v>0</v>
      </c>
      <c r="P57" s="279"/>
      <c r="R57" s="244"/>
      <c r="S57" s="244"/>
      <c r="T57" s="244"/>
      <c r="U57" s="244"/>
    </row>
    <row r="58" spans="2:21" ht="12.5">
      <c r="B58" s="145" t="str">
        <f t="shared" si="6"/>
        <v/>
      </c>
      <c r="C58" s="496">
        <f>IF(D11="","-",+C57+1)</f>
        <v>2051</v>
      </c>
      <c r="D58" s="509">
        <f>IF(F57+SUM(E$17:E57)=D$10,F57,D$10-SUM(E$17:E57))</f>
        <v>0</v>
      </c>
      <c r="E58" s="510">
        <f>IF(+I14&lt;F57,I14,D58)</f>
        <v>0</v>
      </c>
      <c r="F58" s="511">
        <f t="shared" si="13"/>
        <v>0</v>
      </c>
      <c r="G58" s="512">
        <f t="shared" si="11"/>
        <v>0</v>
      </c>
      <c r="H58" s="478">
        <f t="shared" si="12"/>
        <v>0</v>
      </c>
      <c r="I58" s="501">
        <f t="shared" si="14"/>
        <v>0</v>
      </c>
      <c r="J58" s="501"/>
      <c r="K58" s="513"/>
      <c r="L58" s="505">
        <f t="shared" si="15"/>
        <v>0</v>
      </c>
      <c r="M58" s="513"/>
      <c r="N58" s="505">
        <f t="shared" si="16"/>
        <v>0</v>
      </c>
      <c r="O58" s="505">
        <f t="shared" si="17"/>
        <v>0</v>
      </c>
      <c r="P58" s="279"/>
      <c r="R58" s="244"/>
      <c r="S58" s="244"/>
      <c r="T58" s="244"/>
      <c r="U58" s="244"/>
    </row>
    <row r="59" spans="2:21" ht="12.5">
      <c r="B59" s="145" t="str">
        <f t="shared" si="6"/>
        <v/>
      </c>
      <c r="C59" s="496">
        <f>IF(D11="","-",+C58+1)</f>
        <v>2052</v>
      </c>
      <c r="D59" s="509">
        <f>IF(F58+SUM(E$17:E58)=D$10,F58,D$10-SUM(E$17:E58))</f>
        <v>0</v>
      </c>
      <c r="E59" s="510">
        <f>IF(+I14&lt;F58,I14,D59)</f>
        <v>0</v>
      </c>
      <c r="F59" s="511">
        <f t="shared" si="13"/>
        <v>0</v>
      </c>
      <c r="G59" s="512">
        <f t="shared" si="11"/>
        <v>0</v>
      </c>
      <c r="H59" s="478">
        <f t="shared" si="12"/>
        <v>0</v>
      </c>
      <c r="I59" s="501">
        <f t="shared" si="14"/>
        <v>0</v>
      </c>
      <c r="J59" s="501"/>
      <c r="K59" s="513"/>
      <c r="L59" s="505">
        <f t="shared" si="15"/>
        <v>0</v>
      </c>
      <c r="M59" s="513"/>
      <c r="N59" s="505">
        <f t="shared" si="16"/>
        <v>0</v>
      </c>
      <c r="O59" s="505">
        <f t="shared" si="17"/>
        <v>0</v>
      </c>
      <c r="P59" s="279"/>
      <c r="R59" s="244"/>
      <c r="S59" s="244"/>
      <c r="T59" s="244"/>
      <c r="U59" s="244"/>
    </row>
    <row r="60" spans="2:21" ht="12.5">
      <c r="B60" s="145" t="str">
        <f t="shared" si="6"/>
        <v/>
      </c>
      <c r="C60" s="496">
        <f>IF(D11="","-",+C59+1)</f>
        <v>2053</v>
      </c>
      <c r="D60" s="509">
        <f>IF(F59+SUM(E$17:E59)=D$10,F59,D$10-SUM(E$17:E59))</f>
        <v>0</v>
      </c>
      <c r="E60" s="510">
        <f>IF(+I14&lt;F59,I14,D60)</f>
        <v>0</v>
      </c>
      <c r="F60" s="511">
        <f t="shared" si="13"/>
        <v>0</v>
      </c>
      <c r="G60" s="512">
        <f t="shared" si="11"/>
        <v>0</v>
      </c>
      <c r="H60" s="478">
        <f t="shared" si="12"/>
        <v>0</v>
      </c>
      <c r="I60" s="501">
        <f t="shared" si="14"/>
        <v>0</v>
      </c>
      <c r="J60" s="501"/>
      <c r="K60" s="513"/>
      <c r="L60" s="505">
        <f t="shared" si="15"/>
        <v>0</v>
      </c>
      <c r="M60" s="513"/>
      <c r="N60" s="505">
        <f t="shared" si="16"/>
        <v>0</v>
      </c>
      <c r="O60" s="505">
        <f t="shared" si="17"/>
        <v>0</v>
      </c>
      <c r="P60" s="279"/>
      <c r="R60" s="244"/>
      <c r="S60" s="244"/>
      <c r="T60" s="244"/>
      <c r="U60" s="244"/>
    </row>
    <row r="61" spans="2:21" ht="12.5">
      <c r="B61" s="145" t="str">
        <f t="shared" si="6"/>
        <v/>
      </c>
      <c r="C61" s="496">
        <f>IF(D11="","-",+C60+1)</f>
        <v>2054</v>
      </c>
      <c r="D61" s="509">
        <f>IF(F60+SUM(E$17:E60)=D$10,F60,D$10-SUM(E$17:E60))</f>
        <v>0</v>
      </c>
      <c r="E61" s="510">
        <f>IF(+I14&lt;F60,I14,D61)</f>
        <v>0</v>
      </c>
      <c r="F61" s="511">
        <f t="shared" si="13"/>
        <v>0</v>
      </c>
      <c r="G61" s="512">
        <f t="shared" si="11"/>
        <v>0</v>
      </c>
      <c r="H61" s="478">
        <f t="shared" si="12"/>
        <v>0</v>
      </c>
      <c r="I61" s="501">
        <f t="shared" si="14"/>
        <v>0</v>
      </c>
      <c r="J61" s="501"/>
      <c r="K61" s="513"/>
      <c r="L61" s="505">
        <f t="shared" si="15"/>
        <v>0</v>
      </c>
      <c r="M61" s="513"/>
      <c r="N61" s="505">
        <f t="shared" si="16"/>
        <v>0</v>
      </c>
      <c r="O61" s="505">
        <f t="shared" si="17"/>
        <v>0</v>
      </c>
      <c r="P61" s="279"/>
      <c r="R61" s="244"/>
      <c r="S61" s="244"/>
      <c r="T61" s="244"/>
      <c r="U61" s="244"/>
    </row>
    <row r="62" spans="2:21" ht="12.5">
      <c r="B62" s="145" t="str">
        <f t="shared" si="6"/>
        <v/>
      </c>
      <c r="C62" s="496">
        <f>IF(D11="","-",+C61+1)</f>
        <v>2055</v>
      </c>
      <c r="D62" s="509">
        <f>IF(F61+SUM(E$17:E61)=D$10,F61,D$10-SUM(E$17:E61))</f>
        <v>0</v>
      </c>
      <c r="E62" s="510">
        <f>IF(+I14&lt;F61,I14,D62)</f>
        <v>0</v>
      </c>
      <c r="F62" s="511">
        <f t="shared" si="13"/>
        <v>0</v>
      </c>
      <c r="G62" s="524">
        <f t="shared" si="11"/>
        <v>0</v>
      </c>
      <c r="H62" s="478">
        <f t="shared" si="12"/>
        <v>0</v>
      </c>
      <c r="I62" s="501">
        <f t="shared" si="14"/>
        <v>0</v>
      </c>
      <c r="J62" s="501"/>
      <c r="K62" s="513"/>
      <c r="L62" s="505">
        <f t="shared" si="15"/>
        <v>0</v>
      </c>
      <c r="M62" s="513"/>
      <c r="N62" s="505">
        <f t="shared" si="16"/>
        <v>0</v>
      </c>
      <c r="O62" s="505">
        <f t="shared" si="17"/>
        <v>0</v>
      </c>
      <c r="P62" s="279"/>
      <c r="R62" s="244"/>
      <c r="S62" s="244"/>
      <c r="T62" s="244"/>
      <c r="U62" s="244"/>
    </row>
    <row r="63" spans="2:21" ht="12.5">
      <c r="B63" s="145" t="str">
        <f t="shared" si="6"/>
        <v/>
      </c>
      <c r="C63" s="496">
        <f>IF(D11="","-",+C62+1)</f>
        <v>2056</v>
      </c>
      <c r="D63" s="509">
        <f>IF(F62+SUM(E$17:E62)=D$10,F62,D$10-SUM(E$17:E62))</f>
        <v>0</v>
      </c>
      <c r="E63" s="510">
        <f>IF(+I14&lt;F62,I14,D63)</f>
        <v>0</v>
      </c>
      <c r="F63" s="511">
        <f t="shared" si="13"/>
        <v>0</v>
      </c>
      <c r="G63" s="524">
        <f t="shared" si="11"/>
        <v>0</v>
      </c>
      <c r="H63" s="478">
        <f t="shared" si="12"/>
        <v>0</v>
      </c>
      <c r="I63" s="501">
        <f t="shared" si="14"/>
        <v>0</v>
      </c>
      <c r="J63" s="501"/>
      <c r="K63" s="513"/>
      <c r="L63" s="505">
        <f t="shared" si="15"/>
        <v>0</v>
      </c>
      <c r="M63" s="513"/>
      <c r="N63" s="505">
        <f t="shared" si="16"/>
        <v>0</v>
      </c>
      <c r="O63" s="505">
        <f t="shared" si="17"/>
        <v>0</v>
      </c>
      <c r="P63" s="279"/>
      <c r="R63" s="244"/>
      <c r="S63" s="244"/>
      <c r="T63" s="244"/>
      <c r="U63" s="244"/>
    </row>
    <row r="64" spans="2:21" ht="12.5">
      <c r="B64" s="145" t="str">
        <f t="shared" si="6"/>
        <v/>
      </c>
      <c r="C64" s="496">
        <f>IF(D11="","-",+C63+1)</f>
        <v>2057</v>
      </c>
      <c r="D64" s="509">
        <f>IF(F63+SUM(E$17:E63)=D$10,F63,D$10-SUM(E$17:E63))</f>
        <v>0</v>
      </c>
      <c r="E64" s="510">
        <f>IF(+I14&lt;F63,I14,D64)</f>
        <v>0</v>
      </c>
      <c r="F64" s="511">
        <f t="shared" si="13"/>
        <v>0</v>
      </c>
      <c r="G64" s="524">
        <f t="shared" si="11"/>
        <v>0</v>
      </c>
      <c r="H64" s="478">
        <f t="shared" si="12"/>
        <v>0</v>
      </c>
      <c r="I64" s="501">
        <f t="shared" si="14"/>
        <v>0</v>
      </c>
      <c r="J64" s="501"/>
      <c r="K64" s="513"/>
      <c r="L64" s="505">
        <f t="shared" si="15"/>
        <v>0</v>
      </c>
      <c r="M64" s="513"/>
      <c r="N64" s="505">
        <f t="shared" si="16"/>
        <v>0</v>
      </c>
      <c r="O64" s="505">
        <f t="shared" si="17"/>
        <v>0</v>
      </c>
      <c r="P64" s="279"/>
      <c r="R64" s="244"/>
      <c r="S64" s="244"/>
      <c r="T64" s="244"/>
      <c r="U64" s="244"/>
    </row>
    <row r="65" spans="1:21" ht="12.5">
      <c r="B65" s="145" t="str">
        <f t="shared" si="6"/>
        <v/>
      </c>
      <c r="C65" s="496">
        <f>IF(D11="","-",+C64+1)</f>
        <v>2058</v>
      </c>
      <c r="D65" s="509">
        <f>IF(F64+SUM(E$17:E64)=D$10,F64,D$10-SUM(E$17:E64))</f>
        <v>0</v>
      </c>
      <c r="E65" s="510">
        <f>IF(+I14&lt;F64,I14,D65)</f>
        <v>0</v>
      </c>
      <c r="F65" s="511">
        <f t="shared" si="13"/>
        <v>0</v>
      </c>
      <c r="G65" s="524">
        <f t="shared" si="11"/>
        <v>0</v>
      </c>
      <c r="H65" s="478">
        <f t="shared" si="12"/>
        <v>0</v>
      </c>
      <c r="I65" s="501">
        <f t="shared" si="14"/>
        <v>0</v>
      </c>
      <c r="J65" s="501"/>
      <c r="K65" s="513"/>
      <c r="L65" s="505">
        <f t="shared" si="15"/>
        <v>0</v>
      </c>
      <c r="M65" s="513"/>
      <c r="N65" s="505">
        <f t="shared" si="16"/>
        <v>0</v>
      </c>
      <c r="O65" s="505">
        <f t="shared" si="17"/>
        <v>0</v>
      </c>
      <c r="P65" s="279"/>
      <c r="R65" s="244"/>
      <c r="S65" s="244"/>
      <c r="T65" s="244"/>
      <c r="U65" s="244"/>
    </row>
    <row r="66" spans="1:21" ht="12.5">
      <c r="B66" s="145" t="str">
        <f t="shared" si="6"/>
        <v/>
      </c>
      <c r="C66" s="496">
        <f>IF(D11="","-",+C65+1)</f>
        <v>2059</v>
      </c>
      <c r="D66" s="509">
        <f>IF(F65+SUM(E$17:E65)=D$10,F65,D$10-SUM(E$17:E65))</f>
        <v>0</v>
      </c>
      <c r="E66" s="510">
        <f>IF(+I14&lt;F65,I14,D66)</f>
        <v>0</v>
      </c>
      <c r="F66" s="511">
        <f t="shared" si="13"/>
        <v>0</v>
      </c>
      <c r="G66" s="524">
        <f t="shared" si="11"/>
        <v>0</v>
      </c>
      <c r="H66" s="478">
        <f t="shared" si="12"/>
        <v>0</v>
      </c>
      <c r="I66" s="501">
        <f t="shared" si="14"/>
        <v>0</v>
      </c>
      <c r="J66" s="501"/>
      <c r="K66" s="513"/>
      <c r="L66" s="505">
        <f t="shared" si="15"/>
        <v>0</v>
      </c>
      <c r="M66" s="513"/>
      <c r="N66" s="505">
        <f t="shared" si="16"/>
        <v>0</v>
      </c>
      <c r="O66" s="505">
        <f t="shared" si="17"/>
        <v>0</v>
      </c>
      <c r="P66" s="279"/>
      <c r="R66" s="244"/>
      <c r="S66" s="244"/>
      <c r="T66" s="244"/>
      <c r="U66" s="244"/>
    </row>
    <row r="67" spans="1:21" ht="12.5">
      <c r="B67" s="145" t="str">
        <f t="shared" si="6"/>
        <v/>
      </c>
      <c r="C67" s="496">
        <f>IF(D11="","-",+C66+1)</f>
        <v>2060</v>
      </c>
      <c r="D67" s="509">
        <f>IF(F66+SUM(E$17:E66)=D$10,F66,D$10-SUM(E$17:E66))</f>
        <v>0</v>
      </c>
      <c r="E67" s="510">
        <f>IF(+I14&lt;F66,I14,D67)</f>
        <v>0</v>
      </c>
      <c r="F67" s="511">
        <f t="shared" si="13"/>
        <v>0</v>
      </c>
      <c r="G67" s="524">
        <f t="shared" si="11"/>
        <v>0</v>
      </c>
      <c r="H67" s="478">
        <f t="shared" si="12"/>
        <v>0</v>
      </c>
      <c r="I67" s="501">
        <f t="shared" si="14"/>
        <v>0</v>
      </c>
      <c r="J67" s="501"/>
      <c r="K67" s="513"/>
      <c r="L67" s="505">
        <f t="shared" si="15"/>
        <v>0</v>
      </c>
      <c r="M67" s="513"/>
      <c r="N67" s="505">
        <f t="shared" si="16"/>
        <v>0</v>
      </c>
      <c r="O67" s="505">
        <f t="shared" si="17"/>
        <v>0</v>
      </c>
      <c r="P67" s="279"/>
      <c r="R67" s="244"/>
      <c r="S67" s="244"/>
      <c r="T67" s="244"/>
      <c r="U67" s="244"/>
    </row>
    <row r="68" spans="1:21" ht="12.5">
      <c r="B68" s="145" t="str">
        <f t="shared" si="6"/>
        <v/>
      </c>
      <c r="C68" s="496">
        <f>IF(D11="","-",+C67+1)</f>
        <v>2061</v>
      </c>
      <c r="D68" s="509">
        <f>IF(F67+SUM(E$17:E67)=D$10,F67,D$10-SUM(E$17:E67))</f>
        <v>0</v>
      </c>
      <c r="E68" s="510">
        <f>IF(+I14&lt;F67,I14,D68)</f>
        <v>0</v>
      </c>
      <c r="F68" s="511">
        <f t="shared" si="13"/>
        <v>0</v>
      </c>
      <c r="G68" s="524">
        <f t="shared" si="11"/>
        <v>0</v>
      </c>
      <c r="H68" s="478">
        <f t="shared" si="12"/>
        <v>0</v>
      </c>
      <c r="I68" s="501">
        <f t="shared" si="14"/>
        <v>0</v>
      </c>
      <c r="J68" s="501"/>
      <c r="K68" s="513"/>
      <c r="L68" s="505">
        <f t="shared" si="15"/>
        <v>0</v>
      </c>
      <c r="M68" s="513"/>
      <c r="N68" s="505">
        <f t="shared" si="16"/>
        <v>0</v>
      </c>
      <c r="O68" s="505">
        <f t="shared" si="17"/>
        <v>0</v>
      </c>
      <c r="P68" s="279"/>
      <c r="R68" s="244"/>
      <c r="S68" s="244"/>
      <c r="T68" s="244"/>
      <c r="U68" s="244"/>
    </row>
    <row r="69" spans="1:21" ht="12.5">
      <c r="B69" s="145" t="str">
        <f t="shared" si="6"/>
        <v/>
      </c>
      <c r="C69" s="496">
        <f>IF(D11="","-",+C68+1)</f>
        <v>2062</v>
      </c>
      <c r="D69" s="509">
        <f>IF(F68+SUM(E$17:E68)=D$10,F68,D$10-SUM(E$17:E68))</f>
        <v>0</v>
      </c>
      <c r="E69" s="510">
        <f>IF(+I14&lt;F68,I14,D69)</f>
        <v>0</v>
      </c>
      <c r="F69" s="511">
        <f t="shared" si="13"/>
        <v>0</v>
      </c>
      <c r="G69" s="524">
        <f t="shared" si="11"/>
        <v>0</v>
      </c>
      <c r="H69" s="478">
        <f t="shared" si="12"/>
        <v>0</v>
      </c>
      <c r="I69" s="501">
        <f t="shared" si="14"/>
        <v>0</v>
      </c>
      <c r="J69" s="501"/>
      <c r="K69" s="513"/>
      <c r="L69" s="505">
        <f t="shared" si="15"/>
        <v>0</v>
      </c>
      <c r="M69" s="513"/>
      <c r="N69" s="505">
        <f t="shared" si="16"/>
        <v>0</v>
      </c>
      <c r="O69" s="505">
        <f t="shared" si="17"/>
        <v>0</v>
      </c>
      <c r="P69" s="279"/>
      <c r="R69" s="244"/>
      <c r="S69" s="244"/>
      <c r="T69" s="244"/>
      <c r="U69" s="244"/>
    </row>
    <row r="70" spans="1:21" ht="12.5">
      <c r="B70" s="145" t="str">
        <f t="shared" si="6"/>
        <v/>
      </c>
      <c r="C70" s="496">
        <f>IF(D11="","-",+C69+1)</f>
        <v>2063</v>
      </c>
      <c r="D70" s="509">
        <f>IF(F69+SUM(E$17:E69)=D$10,F69,D$10-SUM(E$17:E69))</f>
        <v>0</v>
      </c>
      <c r="E70" s="510">
        <f>IF(+I14&lt;F69,I14,D70)</f>
        <v>0</v>
      </c>
      <c r="F70" s="511">
        <f t="shared" si="13"/>
        <v>0</v>
      </c>
      <c r="G70" s="524">
        <f t="shared" si="11"/>
        <v>0</v>
      </c>
      <c r="H70" s="478">
        <f t="shared" si="12"/>
        <v>0</v>
      </c>
      <c r="I70" s="501">
        <f t="shared" si="14"/>
        <v>0</v>
      </c>
      <c r="J70" s="501"/>
      <c r="K70" s="513"/>
      <c r="L70" s="505">
        <f t="shared" si="15"/>
        <v>0</v>
      </c>
      <c r="M70" s="513"/>
      <c r="N70" s="505">
        <f t="shared" si="16"/>
        <v>0</v>
      </c>
      <c r="O70" s="505">
        <f t="shared" si="17"/>
        <v>0</v>
      </c>
      <c r="P70" s="279"/>
      <c r="R70" s="244"/>
      <c r="S70" s="244"/>
      <c r="T70" s="244"/>
      <c r="U70" s="244"/>
    </row>
    <row r="71" spans="1:21" ht="12.5">
      <c r="B71" s="145" t="str">
        <f t="shared" si="6"/>
        <v/>
      </c>
      <c r="C71" s="496">
        <f>IF(D11="","-",+C70+1)</f>
        <v>2064</v>
      </c>
      <c r="D71" s="509">
        <f>IF(F70+SUM(E$17:E70)=D$10,F70,D$10-SUM(E$17:E70))</f>
        <v>0</v>
      </c>
      <c r="E71" s="510">
        <f>IF(+I14&lt;F70,I14,D71)</f>
        <v>0</v>
      </c>
      <c r="F71" s="511">
        <f t="shared" si="13"/>
        <v>0</v>
      </c>
      <c r="G71" s="524">
        <f t="shared" si="11"/>
        <v>0</v>
      </c>
      <c r="H71" s="478">
        <f t="shared" si="12"/>
        <v>0</v>
      </c>
      <c r="I71" s="501">
        <f t="shared" si="14"/>
        <v>0</v>
      </c>
      <c r="J71" s="501"/>
      <c r="K71" s="513"/>
      <c r="L71" s="505">
        <f t="shared" si="15"/>
        <v>0</v>
      </c>
      <c r="M71" s="513"/>
      <c r="N71" s="505">
        <f t="shared" si="16"/>
        <v>0</v>
      </c>
      <c r="O71" s="505">
        <f t="shared" si="17"/>
        <v>0</v>
      </c>
      <c r="P71" s="279"/>
      <c r="R71" s="244"/>
      <c r="S71" s="244"/>
      <c r="T71" s="244"/>
      <c r="U71" s="244"/>
    </row>
    <row r="72" spans="1:21" ht="12.5">
      <c r="B72" s="145" t="str">
        <f t="shared" si="6"/>
        <v/>
      </c>
      <c r="C72" s="496">
        <f>IF(D11="","-",+C71+1)</f>
        <v>2065</v>
      </c>
      <c r="D72" s="509">
        <f>IF(F71+SUM(E$17:E71)=D$10,F71,D$10-SUM(E$17:E71))</f>
        <v>0</v>
      </c>
      <c r="E72" s="510">
        <f>IF(+I14&lt;F71,I14,D72)</f>
        <v>0</v>
      </c>
      <c r="F72" s="511">
        <f t="shared" si="13"/>
        <v>0</v>
      </c>
      <c r="G72" s="524">
        <f t="shared" si="11"/>
        <v>0</v>
      </c>
      <c r="H72" s="478">
        <f t="shared" si="12"/>
        <v>0</v>
      </c>
      <c r="I72" s="501">
        <f t="shared" si="14"/>
        <v>0</v>
      </c>
      <c r="J72" s="501"/>
      <c r="K72" s="513"/>
      <c r="L72" s="505">
        <f t="shared" si="15"/>
        <v>0</v>
      </c>
      <c r="M72" s="513"/>
      <c r="N72" s="505">
        <f t="shared" si="16"/>
        <v>0</v>
      </c>
      <c r="O72" s="505">
        <f t="shared" si="17"/>
        <v>0</v>
      </c>
      <c r="P72" s="279"/>
      <c r="R72" s="244"/>
      <c r="S72" s="244"/>
      <c r="T72" s="244"/>
      <c r="U72" s="244"/>
    </row>
    <row r="73" spans="1:21" ht="13" thickBot="1">
      <c r="B73" s="145" t="str">
        <f t="shared" si="6"/>
        <v/>
      </c>
      <c r="C73" s="525">
        <f>IF(D11="","-",+C72+1)</f>
        <v>2066</v>
      </c>
      <c r="D73" s="526">
        <f>IF(F72+SUM(E$17:E72)=D$10,F72,D$10-SUM(E$17:E72))</f>
        <v>0</v>
      </c>
      <c r="E73" s="527">
        <f>IF(+I14&lt;F72,I14,D73)</f>
        <v>0</v>
      </c>
      <c r="F73" s="528">
        <f t="shared" si="13"/>
        <v>0</v>
      </c>
      <c r="G73" s="529">
        <f t="shared" si="11"/>
        <v>0</v>
      </c>
      <c r="H73" s="459">
        <f t="shared" si="12"/>
        <v>0</v>
      </c>
      <c r="I73" s="530">
        <f t="shared" si="14"/>
        <v>0</v>
      </c>
      <c r="J73" s="501"/>
      <c r="K73" s="531"/>
      <c r="L73" s="532">
        <f t="shared" si="15"/>
        <v>0</v>
      </c>
      <c r="M73" s="531"/>
      <c r="N73" s="532">
        <f t="shared" si="16"/>
        <v>0</v>
      </c>
      <c r="O73" s="532">
        <f t="shared" si="17"/>
        <v>0</v>
      </c>
      <c r="P73" s="279"/>
      <c r="R73" s="244"/>
      <c r="S73" s="244"/>
      <c r="T73" s="244"/>
      <c r="U73" s="244"/>
    </row>
    <row r="74" spans="1:21" ht="12.5">
      <c r="C74" s="350" t="s">
        <v>75</v>
      </c>
      <c r="D74" s="295"/>
      <c r="E74" s="295">
        <f>SUM(E17:E73)</f>
        <v>723818</v>
      </c>
      <c r="F74" s="295"/>
      <c r="G74" s="295">
        <f>SUM(G17:G73)</f>
        <v>2386260.8767552627</v>
      </c>
      <c r="H74" s="295">
        <f>SUM(H17:H73)</f>
        <v>2386260.8767552627</v>
      </c>
      <c r="I74" s="295">
        <f>SUM(I17:I73)</f>
        <v>0</v>
      </c>
      <c r="J74" s="295"/>
      <c r="K74" s="295"/>
      <c r="L74" s="295"/>
      <c r="M74" s="295"/>
      <c r="N74" s="295"/>
      <c r="O74" s="279"/>
      <c r="P74" s="279"/>
      <c r="R74" s="244"/>
      <c r="S74" s="244"/>
      <c r="T74" s="244"/>
      <c r="U74" s="244"/>
    </row>
    <row r="75" spans="1:21" ht="12.5">
      <c r="D75" s="293"/>
      <c r="E75" s="244"/>
      <c r="F75" s="244"/>
      <c r="G75" s="244"/>
      <c r="H75" s="326"/>
      <c r="I75" s="326"/>
      <c r="J75" s="295"/>
      <c r="K75" s="326"/>
      <c r="L75" s="326"/>
      <c r="M75" s="326"/>
      <c r="N75" s="326"/>
      <c r="O75" s="244"/>
      <c r="P75" s="244"/>
      <c r="R75" s="244"/>
      <c r="S75" s="244"/>
      <c r="T75" s="244"/>
      <c r="U75" s="244"/>
    </row>
    <row r="76" spans="1:21" ht="13">
      <c r="C76" s="533" t="s">
        <v>95</v>
      </c>
      <c r="D76" s="293"/>
      <c r="E76" s="244"/>
      <c r="F76" s="244"/>
      <c r="G76" s="244"/>
      <c r="H76" s="326"/>
      <c r="I76" s="326"/>
      <c r="J76" s="295"/>
      <c r="K76" s="326"/>
      <c r="L76" s="326"/>
      <c r="M76" s="326"/>
      <c r="N76" s="326"/>
      <c r="O76" s="244"/>
      <c r="P76" s="244"/>
      <c r="R76" s="244"/>
      <c r="S76" s="244"/>
      <c r="T76" s="244"/>
      <c r="U76" s="244"/>
    </row>
    <row r="77" spans="1:21" ht="13">
      <c r="C77" s="455" t="s">
        <v>76</v>
      </c>
      <c r="D77" s="293"/>
      <c r="E77" s="244"/>
      <c r="F77" s="244"/>
      <c r="G77" s="244"/>
      <c r="H77" s="326"/>
      <c r="I77" s="326"/>
      <c r="J77" s="295"/>
      <c r="K77" s="326"/>
      <c r="L77" s="326"/>
      <c r="M77" s="326"/>
      <c r="N77" s="326"/>
      <c r="O77" s="279"/>
      <c r="P77" s="279"/>
      <c r="R77" s="244"/>
      <c r="S77" s="244"/>
      <c r="T77" s="244"/>
      <c r="U77" s="244"/>
    </row>
    <row r="78" spans="1:21" ht="17.5">
      <c r="C78" s="455" t="s">
        <v>77</v>
      </c>
      <c r="D78" s="350"/>
      <c r="E78" s="350"/>
      <c r="F78" s="350"/>
      <c r="G78" s="295"/>
      <c r="H78" s="295"/>
      <c r="I78" s="351"/>
      <c r="J78" s="351"/>
      <c r="K78" s="351"/>
      <c r="L78" s="351"/>
      <c r="M78" s="351"/>
      <c r="N78" s="351"/>
      <c r="O78" s="534"/>
      <c r="P78" s="279"/>
      <c r="R78" s="244"/>
      <c r="S78" s="244"/>
      <c r="T78" s="244"/>
      <c r="U78" s="244"/>
    </row>
    <row r="79" spans="1:21" ht="13">
      <c r="C79" s="455"/>
      <c r="D79" s="350"/>
      <c r="E79" s="350"/>
      <c r="F79" s="350"/>
      <c r="G79" s="295"/>
      <c r="H79" s="295"/>
      <c r="I79" s="351"/>
      <c r="J79" s="351"/>
      <c r="K79" s="351"/>
      <c r="L79" s="351"/>
      <c r="M79" s="351"/>
      <c r="N79" s="351"/>
      <c r="O79" s="279"/>
      <c r="P79" s="244"/>
      <c r="R79" s="244"/>
      <c r="S79" s="244"/>
      <c r="T79" s="244"/>
      <c r="U79" s="244"/>
    </row>
    <row r="80" spans="1:21" ht="15.5">
      <c r="A80" s="535"/>
      <c r="B80" s="244"/>
      <c r="C80" s="249"/>
      <c r="D80" s="293"/>
      <c r="E80" s="244"/>
      <c r="F80" s="348"/>
      <c r="G80" s="244"/>
      <c r="H80" s="326"/>
      <c r="I80" s="244"/>
      <c r="J80" s="279"/>
      <c r="K80" s="244"/>
      <c r="L80" s="244"/>
      <c r="M80" s="244"/>
      <c r="N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536"/>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82861.19585201345</v>
      </c>
      <c r="N88" s="545">
        <f>IF(J93&lt;D11,0,VLOOKUP(J93,C17:O73,11))</f>
        <v>82861.19585201345</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86899.348480192144</v>
      </c>
      <c r="N89" s="549">
        <f>IF(J93&lt;D11,0,VLOOKUP(J93,C100:P155,7))</f>
        <v>86899.348480192144</v>
      </c>
      <c r="O89" s="550">
        <f>+N89-M89</f>
        <v>0</v>
      </c>
      <c r="P89" s="244"/>
      <c r="Q89" s="244"/>
      <c r="R89" s="244"/>
      <c r="S89" s="244"/>
      <c r="T89" s="244"/>
      <c r="U89" s="244"/>
    </row>
    <row r="90" spans="1:21" ht="13.5" thickBot="1">
      <c r="C90" s="455" t="s">
        <v>82</v>
      </c>
      <c r="D90" s="551" t="str">
        <f>+D7</f>
        <v>Snyder 138 kV Terminal Addition</v>
      </c>
      <c r="E90" s="244"/>
      <c r="F90" s="244"/>
      <c r="G90" s="244"/>
      <c r="H90" s="244"/>
      <c r="I90" s="326"/>
      <c r="J90" s="326"/>
      <c r="K90" s="552"/>
      <c r="L90" s="553" t="s">
        <v>135</v>
      </c>
      <c r="M90" s="554">
        <f>+M89-M88</f>
        <v>4038.1526281786937</v>
      </c>
      <c r="N90" s="554">
        <f>+N89-N88</f>
        <v>4038.1526281786937</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TP2009013</v>
      </c>
      <c r="E92" s="559"/>
      <c r="F92" s="559"/>
      <c r="G92" s="559"/>
      <c r="H92" s="559"/>
      <c r="I92" s="559"/>
      <c r="J92" s="560"/>
      <c r="K92" s="561"/>
      <c r="P92" s="469"/>
      <c r="Q92" s="244"/>
      <c r="R92" s="244"/>
      <c r="S92" s="244"/>
      <c r="T92" s="244"/>
      <c r="U92" s="244"/>
    </row>
    <row r="93" spans="1:21" ht="13">
      <c r="C93" s="473" t="s">
        <v>49</v>
      </c>
      <c r="D93" s="471">
        <f>IF(D11=I10,0,D10)</f>
        <v>723818</v>
      </c>
      <c r="E93" s="249" t="s">
        <v>84</v>
      </c>
      <c r="H93" s="409"/>
      <c r="I93" s="409"/>
      <c r="J93" s="472">
        <f>+'OKT.WS.G.BPU.ATRR.True-up'!M16</f>
        <v>2020</v>
      </c>
      <c r="K93" s="468"/>
      <c r="L93" s="295" t="s">
        <v>85</v>
      </c>
      <c r="P93" s="279"/>
      <c r="Q93" s="244"/>
      <c r="R93" s="244"/>
      <c r="S93" s="244"/>
      <c r="T93" s="244"/>
      <c r="U93" s="244"/>
    </row>
    <row r="94" spans="1:21" ht="12.5">
      <c r="C94" s="473" t="s">
        <v>52</v>
      </c>
      <c r="D94" s="562">
        <f>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f>+D14</f>
        <v>0</v>
      </c>
      <c r="E97" s="564" t="s">
        <v>62</v>
      </c>
      <c r="F97" s="565"/>
      <c r="G97" s="565"/>
      <c r="H97" s="566"/>
      <c r="I97" s="566"/>
      <c r="J97" s="459">
        <f>IF(D93=0,0,D93/D96)</f>
        <v>25850.642857142859</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IF(D100=F99,"","IU")</f>
        <v>IU</v>
      </c>
      <c r="C100" s="496">
        <f>IF(D94= "","-",D94)</f>
        <v>2010</v>
      </c>
      <c r="D100" s="497">
        <v>0</v>
      </c>
      <c r="E100" s="499">
        <v>0</v>
      </c>
      <c r="F100" s="506">
        <v>634790</v>
      </c>
      <c r="G100" s="572">
        <v>317395</v>
      </c>
      <c r="H100" s="572">
        <v>107896.39563165967</v>
      </c>
      <c r="I100" s="572">
        <v>107896.39563165967</v>
      </c>
      <c r="J100" s="505">
        <f t="shared" ref="J100:J131" si="18">+I100-H100</f>
        <v>0</v>
      </c>
      <c r="K100" s="505"/>
      <c r="L100" s="507">
        <f t="shared" ref="L100:L105" si="19">H100</f>
        <v>107896.39563165967</v>
      </c>
      <c r="M100" s="508">
        <f>IF(L100&lt;&gt;0,+H100-L100,0)</f>
        <v>0</v>
      </c>
      <c r="N100" s="507">
        <f t="shared" ref="N100:N105" si="20">I100</f>
        <v>107896.39563165967</v>
      </c>
      <c r="O100" s="504">
        <f t="shared" ref="O100:O131" si="21">IF(N100&lt;&gt;0,+I100-N100,0)</f>
        <v>0</v>
      </c>
      <c r="P100" s="504">
        <f t="shared" ref="P100:P131" si="22">+O100-M100</f>
        <v>0</v>
      </c>
      <c r="Q100" s="244"/>
      <c r="R100" s="244"/>
      <c r="S100" s="244"/>
      <c r="T100" s="244"/>
      <c r="U100" s="244"/>
    </row>
    <row r="101" spans="1:21" ht="12.5">
      <c r="B101" s="145" t="str">
        <f t="shared" ref="B101:B155" si="23">IF(D101=F100,"","IU")</f>
        <v/>
      </c>
      <c r="C101" s="496">
        <f>IF(D94="","-",+C100+1)</f>
        <v>2011</v>
      </c>
      <c r="D101" s="497">
        <v>634790</v>
      </c>
      <c r="E101" s="499">
        <v>12180.958103448274</v>
      </c>
      <c r="F101" s="506">
        <v>622609.04189655173</v>
      </c>
      <c r="G101" s="506">
        <v>628699.52094827592</v>
      </c>
      <c r="H101" s="499">
        <v>58926.291922257748</v>
      </c>
      <c r="I101" s="500">
        <v>58926.291922257748</v>
      </c>
      <c r="J101" s="505">
        <v>0</v>
      </c>
      <c r="K101" s="505"/>
      <c r="L101" s="507">
        <f t="shared" si="19"/>
        <v>58926.291922257748</v>
      </c>
      <c r="M101" s="505">
        <f t="shared" ref="M101:M131" si="24">IF(L101&lt;&gt;0,+H101-L101,0)</f>
        <v>0</v>
      </c>
      <c r="N101" s="507">
        <f t="shared" si="20"/>
        <v>58926.291922257748</v>
      </c>
      <c r="O101" s="505">
        <f t="shared" si="21"/>
        <v>0</v>
      </c>
      <c r="P101" s="505">
        <f t="shared" si="22"/>
        <v>0</v>
      </c>
      <c r="Q101" s="244"/>
      <c r="R101" s="244"/>
      <c r="S101" s="244"/>
      <c r="T101" s="244"/>
      <c r="U101" s="244"/>
    </row>
    <row r="102" spans="1:21" ht="12.5">
      <c r="B102" s="145" t="str">
        <f t="shared" si="23"/>
        <v>IU</v>
      </c>
      <c r="C102" s="496">
        <f>IF(D94="","-",+C101+1)</f>
        <v>2012</v>
      </c>
      <c r="D102" s="497">
        <v>711637.04189655173</v>
      </c>
      <c r="E102" s="499">
        <v>12479.620689655172</v>
      </c>
      <c r="F102" s="506">
        <v>699157.42120689654</v>
      </c>
      <c r="G102" s="506">
        <v>705397.23155172414</v>
      </c>
      <c r="H102" s="499">
        <v>83971.238209738236</v>
      </c>
      <c r="I102" s="500">
        <v>83971.238209738236</v>
      </c>
      <c r="J102" s="505">
        <v>0</v>
      </c>
      <c r="K102" s="505"/>
      <c r="L102" s="507">
        <f t="shared" si="19"/>
        <v>83971.238209738236</v>
      </c>
      <c r="M102" s="505">
        <f t="shared" ref="M102:M107" si="25">IF(L102&lt;&gt;0,+H102-L102,0)</f>
        <v>0</v>
      </c>
      <c r="N102" s="507">
        <f t="shared" si="20"/>
        <v>83971.238209738236</v>
      </c>
      <c r="O102" s="505">
        <f>IF(N102&lt;&gt;0,+I102-N102,0)</f>
        <v>0</v>
      </c>
      <c r="P102" s="505">
        <f>+O102-M102</f>
        <v>0</v>
      </c>
      <c r="Q102" s="244"/>
      <c r="R102" s="244"/>
      <c r="S102" s="244"/>
      <c r="T102" s="244"/>
      <c r="U102" s="244"/>
    </row>
    <row r="103" spans="1:21" ht="12.5">
      <c r="B103" s="145" t="str">
        <f t="shared" si="23"/>
        <v/>
      </c>
      <c r="C103" s="496">
        <f>IF(D94="","-",+C102+1)</f>
        <v>2013</v>
      </c>
      <c r="D103" s="497">
        <v>699157.42120689654</v>
      </c>
      <c r="E103" s="499">
        <v>12479.620689655172</v>
      </c>
      <c r="F103" s="506">
        <v>686677.80051724135</v>
      </c>
      <c r="G103" s="506">
        <v>692917.61086206895</v>
      </c>
      <c r="H103" s="499">
        <v>91236.605288625666</v>
      </c>
      <c r="I103" s="500">
        <v>91236.605288625666</v>
      </c>
      <c r="J103" s="505">
        <v>0</v>
      </c>
      <c r="K103" s="505"/>
      <c r="L103" s="507">
        <f t="shared" si="19"/>
        <v>91236.605288625666</v>
      </c>
      <c r="M103" s="505">
        <f t="shared" si="25"/>
        <v>0</v>
      </c>
      <c r="N103" s="507">
        <f t="shared" si="20"/>
        <v>91236.605288625666</v>
      </c>
      <c r="O103" s="505">
        <f>IF(N103&lt;&gt;0,+I103-N103,0)</f>
        <v>0</v>
      </c>
      <c r="P103" s="505">
        <f>+O103-M103</f>
        <v>0</v>
      </c>
      <c r="Q103" s="244"/>
      <c r="R103" s="244"/>
      <c r="S103" s="244"/>
      <c r="T103" s="244"/>
      <c r="U103" s="244"/>
    </row>
    <row r="104" spans="1:21" ht="12.5">
      <c r="B104" s="145" t="str">
        <f t="shared" si="23"/>
        <v/>
      </c>
      <c r="C104" s="496">
        <f>IF(D94="","-",+C103+1)</f>
        <v>2014</v>
      </c>
      <c r="D104" s="497">
        <v>686677.80051724135</v>
      </c>
      <c r="E104" s="499">
        <v>12479.620689655172</v>
      </c>
      <c r="F104" s="506">
        <v>674198.17982758617</v>
      </c>
      <c r="G104" s="506">
        <v>680437.99017241376</v>
      </c>
      <c r="H104" s="499">
        <v>85656.254524456934</v>
      </c>
      <c r="I104" s="500">
        <v>85656.254524456934</v>
      </c>
      <c r="J104" s="505">
        <v>0</v>
      </c>
      <c r="K104" s="505"/>
      <c r="L104" s="507">
        <f t="shared" si="19"/>
        <v>85656.254524456934</v>
      </c>
      <c r="M104" s="505">
        <f t="shared" si="25"/>
        <v>0</v>
      </c>
      <c r="N104" s="507">
        <f t="shared" si="20"/>
        <v>85656.254524456934</v>
      </c>
      <c r="O104" s="505">
        <f>IF(N104&lt;&gt;0,+I104-N104,0)</f>
        <v>0</v>
      </c>
      <c r="P104" s="505">
        <f>+O104-M104</f>
        <v>0</v>
      </c>
      <c r="Q104" s="244"/>
      <c r="R104" s="244"/>
      <c r="S104" s="244"/>
      <c r="T104" s="244"/>
      <c r="U104" s="244"/>
    </row>
    <row r="105" spans="1:21" ht="12.5">
      <c r="B105" s="145" t="str">
        <f t="shared" si="23"/>
        <v/>
      </c>
      <c r="C105" s="496">
        <f>IF(D94="","-",+C104+1)</f>
        <v>2015</v>
      </c>
      <c r="D105" s="497">
        <v>674198.17982758617</v>
      </c>
      <c r="E105" s="499">
        <v>15079.541666666666</v>
      </c>
      <c r="F105" s="506">
        <v>659118.63816091954</v>
      </c>
      <c r="G105" s="506">
        <v>666658.40899425279</v>
      </c>
      <c r="H105" s="499">
        <v>89298.24140660846</v>
      </c>
      <c r="I105" s="500">
        <v>89298.24140660846</v>
      </c>
      <c r="J105" s="505">
        <f t="shared" si="18"/>
        <v>0</v>
      </c>
      <c r="K105" s="505"/>
      <c r="L105" s="507">
        <f t="shared" si="19"/>
        <v>89298.24140660846</v>
      </c>
      <c r="M105" s="505">
        <f t="shared" si="25"/>
        <v>0</v>
      </c>
      <c r="N105" s="507">
        <f t="shared" si="20"/>
        <v>89298.24140660846</v>
      </c>
      <c r="O105" s="505">
        <f t="shared" si="21"/>
        <v>0</v>
      </c>
      <c r="P105" s="505">
        <f t="shared" si="22"/>
        <v>0</v>
      </c>
      <c r="Q105" s="244"/>
      <c r="R105" s="244"/>
      <c r="S105" s="244"/>
      <c r="T105" s="244"/>
      <c r="U105" s="244"/>
    </row>
    <row r="106" spans="1:21" ht="12.5">
      <c r="B106" s="145" t="str">
        <f t="shared" si="23"/>
        <v/>
      </c>
      <c r="C106" s="496">
        <f>IF(D94="","-",+C105+1)</f>
        <v>2016</v>
      </c>
      <c r="D106" s="497">
        <v>659118.63816091954</v>
      </c>
      <c r="E106" s="499">
        <v>14192.509803921568</v>
      </c>
      <c r="F106" s="506">
        <v>644926.12835699797</v>
      </c>
      <c r="G106" s="506">
        <v>652022.38325895881</v>
      </c>
      <c r="H106" s="499">
        <v>84851.823004071382</v>
      </c>
      <c r="I106" s="500">
        <v>84851.823004071382</v>
      </c>
      <c r="J106" s="505">
        <f t="shared" si="18"/>
        <v>0</v>
      </c>
      <c r="K106" s="505"/>
      <c r="L106" s="507">
        <f>H106</f>
        <v>84851.823004071382</v>
      </c>
      <c r="M106" s="505">
        <f t="shared" si="25"/>
        <v>0</v>
      </c>
      <c r="N106" s="507">
        <f>I106</f>
        <v>84851.823004071382</v>
      </c>
      <c r="O106" s="505">
        <f>IF(N106&lt;&gt;0,+I106-N106,0)</f>
        <v>0</v>
      </c>
      <c r="P106" s="505">
        <f>+O106-M106</f>
        <v>0</v>
      </c>
      <c r="Q106" s="244"/>
      <c r="R106" s="244"/>
      <c r="S106" s="244"/>
      <c r="T106" s="244"/>
      <c r="U106" s="244"/>
    </row>
    <row r="107" spans="1:21" ht="12.5">
      <c r="B107" s="145" t="str">
        <f t="shared" si="23"/>
        <v/>
      </c>
      <c r="C107" s="496">
        <f>IF(D94="","-",+C106+1)</f>
        <v>2017</v>
      </c>
      <c r="D107" s="497">
        <v>644926.12835699797</v>
      </c>
      <c r="E107" s="499">
        <v>18095.45</v>
      </c>
      <c r="F107" s="506">
        <v>626830.67835699802</v>
      </c>
      <c r="G107" s="506">
        <v>635878.40335699799</v>
      </c>
      <c r="H107" s="499">
        <v>92706.791991345061</v>
      </c>
      <c r="I107" s="500">
        <v>92706.791991345061</v>
      </c>
      <c r="J107" s="505">
        <f t="shared" si="18"/>
        <v>0</v>
      </c>
      <c r="K107" s="505"/>
      <c r="L107" s="507">
        <f>H107</f>
        <v>92706.791991345061</v>
      </c>
      <c r="M107" s="505">
        <f t="shared" si="25"/>
        <v>0</v>
      </c>
      <c r="N107" s="507">
        <f>I107</f>
        <v>92706.791991345061</v>
      </c>
      <c r="O107" s="505">
        <f>IF(N107&lt;&gt;0,+I107-N107,0)</f>
        <v>0</v>
      </c>
      <c r="P107" s="505">
        <f>+O107-M107</f>
        <v>0</v>
      </c>
      <c r="Q107" s="244"/>
      <c r="R107" s="244"/>
      <c r="S107" s="244"/>
      <c r="T107" s="244"/>
      <c r="U107" s="244"/>
    </row>
    <row r="108" spans="1:21" ht="12.5">
      <c r="B108" s="145" t="str">
        <f t="shared" si="23"/>
        <v/>
      </c>
      <c r="C108" s="496">
        <f>IF(D94="","-",+C107+1)</f>
        <v>2018</v>
      </c>
      <c r="D108" s="497">
        <v>626830.67835699802</v>
      </c>
      <c r="E108" s="499">
        <v>20106.055555555555</v>
      </c>
      <c r="F108" s="506">
        <v>606724.62280144251</v>
      </c>
      <c r="G108" s="506">
        <v>616777.65057922027</v>
      </c>
      <c r="H108" s="499">
        <v>85214.614900276356</v>
      </c>
      <c r="I108" s="500">
        <v>85214.614900276356</v>
      </c>
      <c r="J108" s="505">
        <f t="shared" si="18"/>
        <v>0</v>
      </c>
      <c r="K108" s="505"/>
      <c r="L108" s="507">
        <f>H108</f>
        <v>85214.614900276356</v>
      </c>
      <c r="M108" s="505">
        <f t="shared" ref="M108" si="26">IF(L108&lt;&gt;0,+H108-L108,0)</f>
        <v>0</v>
      </c>
      <c r="N108" s="507">
        <f>I108</f>
        <v>85214.614900276356</v>
      </c>
      <c r="O108" s="505">
        <f>IF(N108&lt;&gt;0,+I108-N108,0)</f>
        <v>0</v>
      </c>
      <c r="P108" s="505">
        <f>+O108-M108</f>
        <v>0</v>
      </c>
      <c r="Q108" s="244"/>
      <c r="R108" s="244"/>
      <c r="S108" s="244"/>
      <c r="T108" s="244"/>
      <c r="U108" s="244"/>
    </row>
    <row r="109" spans="1:21" ht="12.5">
      <c r="B109" s="145" t="str">
        <f t="shared" si="23"/>
        <v/>
      </c>
      <c r="C109" s="496">
        <f>IF(D94="","-",+C108+1)</f>
        <v>2019</v>
      </c>
      <c r="D109" s="497">
        <v>606724.62280144251</v>
      </c>
      <c r="E109" s="499">
        <v>20106.055555555555</v>
      </c>
      <c r="F109" s="506">
        <v>586618.56724588701</v>
      </c>
      <c r="G109" s="506">
        <v>596671.59502366476</v>
      </c>
      <c r="H109" s="499">
        <v>83092.170434109707</v>
      </c>
      <c r="I109" s="500">
        <v>83092.170434109707</v>
      </c>
      <c r="J109" s="505">
        <f t="shared" si="18"/>
        <v>0</v>
      </c>
      <c r="K109" s="505"/>
      <c r="L109" s="507">
        <f>H109</f>
        <v>83092.170434109707</v>
      </c>
      <c r="M109" s="505">
        <f t="shared" ref="M109" si="27">IF(L109&lt;&gt;0,+H109-L109,0)</f>
        <v>0</v>
      </c>
      <c r="N109" s="507">
        <f>I109</f>
        <v>83092.170434109707</v>
      </c>
      <c r="O109" s="505">
        <f t="shared" si="21"/>
        <v>0</v>
      </c>
      <c r="P109" s="505">
        <f t="shared" si="22"/>
        <v>0</v>
      </c>
      <c r="Q109" s="244"/>
      <c r="R109" s="244"/>
      <c r="S109" s="244"/>
      <c r="T109" s="244"/>
      <c r="U109" s="244"/>
    </row>
    <row r="110" spans="1:21" ht="12.5">
      <c r="B110" s="145" t="str">
        <f t="shared" si="23"/>
        <v/>
      </c>
      <c r="C110" s="496">
        <f>IF(D94="","-",+C109+1)</f>
        <v>2020</v>
      </c>
      <c r="D110" s="350">
        <f>IF(F109+SUM(E$100:E109)=D$93,F109,D$93-SUM(E$100:E109))</f>
        <v>586618.56724588701</v>
      </c>
      <c r="E110" s="510">
        <f>IF(+J97&lt;F109,J97,D110)</f>
        <v>25850.642857142859</v>
      </c>
      <c r="F110" s="511">
        <f t="shared" ref="F110:F131" si="28">+D110-E110</f>
        <v>560767.92438874417</v>
      </c>
      <c r="G110" s="511">
        <f t="shared" ref="G110:G131" si="29">+(F110+D110)/2</f>
        <v>573693.24581731553</v>
      </c>
      <c r="H110" s="646">
        <f>(D110+F110)/2*J$95+E110</f>
        <v>86899.348480192144</v>
      </c>
      <c r="I110" s="573">
        <f t="shared" ref="I110:I132" si="30">+J$96*G110+E110</f>
        <v>86899.348480192144</v>
      </c>
      <c r="J110" s="505">
        <f t="shared" si="18"/>
        <v>0</v>
      </c>
      <c r="K110" s="505"/>
      <c r="L110" s="513"/>
      <c r="M110" s="505">
        <f t="shared" si="24"/>
        <v>0</v>
      </c>
      <c r="N110" s="513"/>
      <c r="O110" s="505">
        <f t="shared" si="21"/>
        <v>0</v>
      </c>
      <c r="P110" s="505">
        <f t="shared" si="22"/>
        <v>0</v>
      </c>
      <c r="Q110" s="244"/>
      <c r="R110" s="244"/>
      <c r="S110" s="244"/>
      <c r="T110" s="244"/>
      <c r="U110" s="244"/>
    </row>
    <row r="111" spans="1:21" ht="12.5">
      <c r="B111" s="145" t="str">
        <f t="shared" si="23"/>
        <v/>
      </c>
      <c r="C111" s="496">
        <f>IF(D94="","-",+C110+1)</f>
        <v>2021</v>
      </c>
      <c r="D111" s="350">
        <f>IF(F110+SUM(E$100:E110)=D$93,F110,D$93-SUM(E$100:E110))</f>
        <v>560767.92438874417</v>
      </c>
      <c r="E111" s="510">
        <f>IF(+J97&lt;F110,J97,D111)</f>
        <v>25850.642857142859</v>
      </c>
      <c r="F111" s="511">
        <f t="shared" si="28"/>
        <v>534917.28153160133</v>
      </c>
      <c r="G111" s="511">
        <f t="shared" si="29"/>
        <v>547842.60296017281</v>
      </c>
      <c r="H111" s="646">
        <f t="shared" ref="H111:H154" si="31">(D111+F111)/2*J$95+E111</f>
        <v>84148.491123131971</v>
      </c>
      <c r="I111" s="573">
        <f t="shared" si="30"/>
        <v>84148.491123131971</v>
      </c>
      <c r="J111" s="505">
        <f t="shared" si="18"/>
        <v>0</v>
      </c>
      <c r="K111" s="505"/>
      <c r="L111" s="513"/>
      <c r="M111" s="505">
        <f t="shared" si="24"/>
        <v>0</v>
      </c>
      <c r="N111" s="513"/>
      <c r="O111" s="505">
        <f t="shared" si="21"/>
        <v>0</v>
      </c>
      <c r="P111" s="505">
        <f t="shared" si="22"/>
        <v>0</v>
      </c>
      <c r="Q111" s="244"/>
      <c r="R111" s="244"/>
      <c r="S111" s="244"/>
      <c r="T111" s="244"/>
      <c r="U111" s="244"/>
    </row>
    <row r="112" spans="1:21" ht="12.5">
      <c r="B112" s="145" t="str">
        <f t="shared" si="23"/>
        <v/>
      </c>
      <c r="C112" s="496">
        <f>IF(D94="","-",+C111+1)</f>
        <v>2022</v>
      </c>
      <c r="D112" s="350">
        <f>IF(F111+SUM(E$100:E111)=D$93,F111,D$93-SUM(E$100:E111))</f>
        <v>534917.28153160133</v>
      </c>
      <c r="E112" s="510">
        <f>IF(+J97&lt;F111,J97,D112)</f>
        <v>25850.642857142859</v>
      </c>
      <c r="F112" s="511">
        <f t="shared" si="28"/>
        <v>509066.63867445849</v>
      </c>
      <c r="G112" s="511">
        <f t="shared" si="29"/>
        <v>521991.96010302991</v>
      </c>
      <c r="H112" s="646">
        <f t="shared" si="31"/>
        <v>81397.633766071798</v>
      </c>
      <c r="I112" s="573">
        <f t="shared" si="30"/>
        <v>81397.633766071798</v>
      </c>
      <c r="J112" s="505">
        <f t="shared" si="18"/>
        <v>0</v>
      </c>
      <c r="K112" s="505"/>
      <c r="L112" s="513"/>
      <c r="M112" s="505">
        <f t="shared" si="24"/>
        <v>0</v>
      </c>
      <c r="N112" s="513"/>
      <c r="O112" s="505">
        <f t="shared" si="21"/>
        <v>0</v>
      </c>
      <c r="P112" s="505">
        <f t="shared" si="22"/>
        <v>0</v>
      </c>
      <c r="Q112" s="244"/>
      <c r="R112" s="244"/>
      <c r="S112" s="244"/>
      <c r="T112" s="244"/>
      <c r="U112" s="244"/>
    </row>
    <row r="113" spans="2:21" ht="12.5">
      <c r="B113" s="145" t="str">
        <f t="shared" si="23"/>
        <v/>
      </c>
      <c r="C113" s="496">
        <f>IF(D94="","-",+C112+1)</f>
        <v>2023</v>
      </c>
      <c r="D113" s="350">
        <f>IF(F112+SUM(E$100:E112)=D$93,F112,D$93-SUM(E$100:E112))</f>
        <v>509066.63867445849</v>
      </c>
      <c r="E113" s="510">
        <f>IF(+J97&lt;F112,J97,D113)</f>
        <v>25850.642857142859</v>
      </c>
      <c r="F113" s="511">
        <f t="shared" si="28"/>
        <v>483215.99581731565</v>
      </c>
      <c r="G113" s="511">
        <f t="shared" si="29"/>
        <v>496141.31724588707</v>
      </c>
      <c r="H113" s="646">
        <f t="shared" si="31"/>
        <v>78646.776409011611</v>
      </c>
      <c r="I113" s="573">
        <f t="shared" si="30"/>
        <v>78646.776409011611</v>
      </c>
      <c r="J113" s="505">
        <f t="shared" si="18"/>
        <v>0</v>
      </c>
      <c r="K113" s="505"/>
      <c r="L113" s="513"/>
      <c r="M113" s="505">
        <f t="shared" si="24"/>
        <v>0</v>
      </c>
      <c r="N113" s="513"/>
      <c r="O113" s="505">
        <f t="shared" si="21"/>
        <v>0</v>
      </c>
      <c r="P113" s="505">
        <f t="shared" si="22"/>
        <v>0</v>
      </c>
      <c r="Q113" s="244"/>
      <c r="R113" s="244"/>
      <c r="S113" s="244"/>
      <c r="T113" s="244"/>
      <c r="U113" s="244"/>
    </row>
    <row r="114" spans="2:21" ht="12.5">
      <c r="B114" s="145" t="str">
        <f t="shared" si="23"/>
        <v/>
      </c>
      <c r="C114" s="496">
        <f>IF(D94="","-",+C113+1)</f>
        <v>2024</v>
      </c>
      <c r="D114" s="350">
        <f>IF(F113+SUM(E$100:E113)=D$93,F113,D$93-SUM(E$100:E113))</f>
        <v>483215.99581731565</v>
      </c>
      <c r="E114" s="510">
        <f>IF(+J97&lt;F113,J97,D114)</f>
        <v>25850.642857142859</v>
      </c>
      <c r="F114" s="511">
        <f t="shared" si="28"/>
        <v>457365.35296017281</v>
      </c>
      <c r="G114" s="511">
        <f t="shared" si="29"/>
        <v>470290.67438874423</v>
      </c>
      <c r="H114" s="646">
        <f t="shared" si="31"/>
        <v>75895.919051951438</v>
      </c>
      <c r="I114" s="573">
        <f t="shared" si="30"/>
        <v>75895.919051951438</v>
      </c>
      <c r="J114" s="505">
        <f t="shared" si="18"/>
        <v>0</v>
      </c>
      <c r="K114" s="505"/>
      <c r="L114" s="513"/>
      <c r="M114" s="505">
        <f t="shared" si="24"/>
        <v>0</v>
      </c>
      <c r="N114" s="513"/>
      <c r="O114" s="505">
        <f t="shared" si="21"/>
        <v>0</v>
      </c>
      <c r="P114" s="505">
        <f t="shared" si="22"/>
        <v>0</v>
      </c>
      <c r="Q114" s="244"/>
      <c r="R114" s="244"/>
      <c r="S114" s="244"/>
      <c r="T114" s="244"/>
      <c r="U114" s="244"/>
    </row>
    <row r="115" spans="2:21" ht="12.5">
      <c r="B115" s="145" t="str">
        <f t="shared" si="23"/>
        <v/>
      </c>
      <c r="C115" s="496">
        <f>IF(D94="","-",+C114+1)</f>
        <v>2025</v>
      </c>
      <c r="D115" s="350">
        <f>IF(F114+SUM(E$100:E114)=D$93,F114,D$93-SUM(E$100:E114))</f>
        <v>457365.35296017281</v>
      </c>
      <c r="E115" s="510">
        <f>IF(+J97&lt;F114,J97,D115)</f>
        <v>25850.642857142859</v>
      </c>
      <c r="F115" s="511">
        <f t="shared" si="28"/>
        <v>431514.71010302997</v>
      </c>
      <c r="G115" s="511">
        <f t="shared" si="29"/>
        <v>444440.03153160139</v>
      </c>
      <c r="H115" s="646">
        <f t="shared" si="31"/>
        <v>73145.061694891265</v>
      </c>
      <c r="I115" s="573">
        <f t="shared" si="30"/>
        <v>73145.061694891265</v>
      </c>
      <c r="J115" s="505">
        <f t="shared" si="18"/>
        <v>0</v>
      </c>
      <c r="K115" s="505"/>
      <c r="L115" s="513"/>
      <c r="M115" s="505">
        <f t="shared" si="24"/>
        <v>0</v>
      </c>
      <c r="N115" s="513"/>
      <c r="O115" s="505">
        <f t="shared" si="21"/>
        <v>0</v>
      </c>
      <c r="P115" s="505">
        <f t="shared" si="22"/>
        <v>0</v>
      </c>
      <c r="Q115" s="244"/>
      <c r="R115" s="244"/>
      <c r="S115" s="244"/>
      <c r="T115" s="244"/>
      <c r="U115" s="244"/>
    </row>
    <row r="116" spans="2:21" ht="12.5">
      <c r="B116" s="145" t="str">
        <f t="shared" si="23"/>
        <v/>
      </c>
      <c r="C116" s="496">
        <f>IF(D94="","-",+C115+1)</f>
        <v>2026</v>
      </c>
      <c r="D116" s="350">
        <f>IF(F115+SUM(E$100:E115)=D$93,F115,D$93-SUM(E$100:E115))</f>
        <v>431514.71010302997</v>
      </c>
      <c r="E116" s="510">
        <f>IF(+J97&lt;F115,J97,D116)</f>
        <v>25850.642857142859</v>
      </c>
      <c r="F116" s="511">
        <f t="shared" si="28"/>
        <v>405664.06724588713</v>
      </c>
      <c r="G116" s="511">
        <f t="shared" si="29"/>
        <v>418589.38867445855</v>
      </c>
      <c r="H116" s="646">
        <f t="shared" si="31"/>
        <v>70394.204337831092</v>
      </c>
      <c r="I116" s="573">
        <f t="shared" si="30"/>
        <v>70394.204337831092</v>
      </c>
      <c r="J116" s="505">
        <f t="shared" si="18"/>
        <v>0</v>
      </c>
      <c r="K116" s="505"/>
      <c r="L116" s="513"/>
      <c r="M116" s="505">
        <f t="shared" si="24"/>
        <v>0</v>
      </c>
      <c r="N116" s="513"/>
      <c r="O116" s="505">
        <f t="shared" si="21"/>
        <v>0</v>
      </c>
      <c r="P116" s="505">
        <f t="shared" si="22"/>
        <v>0</v>
      </c>
      <c r="Q116" s="244"/>
      <c r="R116" s="244"/>
      <c r="S116" s="244"/>
      <c r="T116" s="244"/>
      <c r="U116" s="244"/>
    </row>
    <row r="117" spans="2:21" ht="12.5">
      <c r="B117" s="145" t="str">
        <f t="shared" si="23"/>
        <v/>
      </c>
      <c r="C117" s="496">
        <f>IF(D94="","-",+C116+1)</f>
        <v>2027</v>
      </c>
      <c r="D117" s="350">
        <f>IF(F116+SUM(E$100:E116)=D$93,F116,D$93-SUM(E$100:E116))</f>
        <v>405664.06724588713</v>
      </c>
      <c r="E117" s="510">
        <f>IF(+J97&lt;F116,J97,D117)</f>
        <v>25850.642857142859</v>
      </c>
      <c r="F117" s="511">
        <f t="shared" si="28"/>
        <v>379813.42438874429</v>
      </c>
      <c r="G117" s="511">
        <f t="shared" si="29"/>
        <v>392738.74581731571</v>
      </c>
      <c r="H117" s="646">
        <f t="shared" si="31"/>
        <v>67643.346980770904</v>
      </c>
      <c r="I117" s="573">
        <f t="shared" si="30"/>
        <v>67643.346980770904</v>
      </c>
      <c r="J117" s="505">
        <f t="shared" si="18"/>
        <v>0</v>
      </c>
      <c r="K117" s="505"/>
      <c r="L117" s="513"/>
      <c r="M117" s="505">
        <f t="shared" si="24"/>
        <v>0</v>
      </c>
      <c r="N117" s="513"/>
      <c r="O117" s="505">
        <f t="shared" si="21"/>
        <v>0</v>
      </c>
      <c r="P117" s="505">
        <f t="shared" si="22"/>
        <v>0</v>
      </c>
      <c r="Q117" s="244"/>
      <c r="R117" s="244"/>
      <c r="S117" s="244"/>
      <c r="T117" s="244"/>
      <c r="U117" s="244"/>
    </row>
    <row r="118" spans="2:21" ht="12.5">
      <c r="B118" s="145" t="str">
        <f t="shared" si="23"/>
        <v/>
      </c>
      <c r="C118" s="496">
        <f>IF(D94="","-",+C117+1)</f>
        <v>2028</v>
      </c>
      <c r="D118" s="350">
        <f>IF(F117+SUM(E$100:E117)=D$93,F117,D$93-SUM(E$100:E117))</f>
        <v>379813.42438874429</v>
      </c>
      <c r="E118" s="510">
        <f>IF(+J97&lt;F117,J97,D118)</f>
        <v>25850.642857142859</v>
      </c>
      <c r="F118" s="511">
        <f t="shared" si="28"/>
        <v>353962.78153160145</v>
      </c>
      <c r="G118" s="511">
        <f t="shared" si="29"/>
        <v>366888.10296017287</v>
      </c>
      <c r="H118" s="646">
        <f t="shared" si="31"/>
        <v>64892.489623710731</v>
      </c>
      <c r="I118" s="573">
        <f t="shared" si="30"/>
        <v>64892.489623710731</v>
      </c>
      <c r="J118" s="505">
        <f t="shared" si="18"/>
        <v>0</v>
      </c>
      <c r="K118" s="505"/>
      <c r="L118" s="513"/>
      <c r="M118" s="505">
        <f t="shared" si="24"/>
        <v>0</v>
      </c>
      <c r="N118" s="513"/>
      <c r="O118" s="505">
        <f t="shared" si="21"/>
        <v>0</v>
      </c>
      <c r="P118" s="505">
        <f t="shared" si="22"/>
        <v>0</v>
      </c>
      <c r="Q118" s="244"/>
      <c r="R118" s="244"/>
      <c r="S118" s="244"/>
      <c r="T118" s="244"/>
      <c r="U118" s="244"/>
    </row>
    <row r="119" spans="2:21" ht="12.5">
      <c r="B119" s="145" t="str">
        <f t="shared" si="23"/>
        <v/>
      </c>
      <c r="C119" s="496">
        <f>IF(D94="","-",+C118+1)</f>
        <v>2029</v>
      </c>
      <c r="D119" s="350">
        <f>IF(F118+SUM(E$100:E118)=D$93,F118,D$93-SUM(E$100:E118))</f>
        <v>353962.78153160145</v>
      </c>
      <c r="E119" s="510">
        <f>IF(+J97&lt;F118,J97,D119)</f>
        <v>25850.642857142859</v>
      </c>
      <c r="F119" s="511">
        <f t="shared" si="28"/>
        <v>328112.13867445861</v>
      </c>
      <c r="G119" s="511">
        <f t="shared" si="29"/>
        <v>341037.46010303003</v>
      </c>
      <c r="H119" s="646">
        <f t="shared" si="31"/>
        <v>62141.632266650558</v>
      </c>
      <c r="I119" s="573">
        <f t="shared" si="30"/>
        <v>62141.632266650558</v>
      </c>
      <c r="J119" s="505">
        <f t="shared" si="18"/>
        <v>0</v>
      </c>
      <c r="K119" s="505"/>
      <c r="L119" s="513"/>
      <c r="M119" s="505">
        <f t="shared" si="24"/>
        <v>0</v>
      </c>
      <c r="N119" s="513"/>
      <c r="O119" s="505">
        <f t="shared" si="21"/>
        <v>0</v>
      </c>
      <c r="P119" s="505">
        <f t="shared" si="22"/>
        <v>0</v>
      </c>
      <c r="Q119" s="244"/>
      <c r="R119" s="244"/>
      <c r="S119" s="244"/>
      <c r="T119" s="244"/>
      <c r="U119" s="244"/>
    </row>
    <row r="120" spans="2:21" ht="12.5">
      <c r="B120" s="145" t="str">
        <f t="shared" si="23"/>
        <v/>
      </c>
      <c r="C120" s="496">
        <f>IF(D94="","-",+C119+1)</f>
        <v>2030</v>
      </c>
      <c r="D120" s="350">
        <f>IF(F119+SUM(E$100:E119)=D$93,F119,D$93-SUM(E$100:E119))</f>
        <v>328112.13867445861</v>
      </c>
      <c r="E120" s="510">
        <f>IF(+J97&lt;F119,J97,D120)</f>
        <v>25850.642857142859</v>
      </c>
      <c r="F120" s="511">
        <f t="shared" si="28"/>
        <v>302261.49581731576</v>
      </c>
      <c r="G120" s="511">
        <f t="shared" si="29"/>
        <v>315186.81724588718</v>
      </c>
      <c r="H120" s="646">
        <f t="shared" si="31"/>
        <v>59390.774909590386</v>
      </c>
      <c r="I120" s="573">
        <f t="shared" si="30"/>
        <v>59390.774909590386</v>
      </c>
      <c r="J120" s="505">
        <f t="shared" si="18"/>
        <v>0</v>
      </c>
      <c r="K120" s="505"/>
      <c r="L120" s="513"/>
      <c r="M120" s="505">
        <f t="shared" si="24"/>
        <v>0</v>
      </c>
      <c r="N120" s="513"/>
      <c r="O120" s="505">
        <f t="shared" si="21"/>
        <v>0</v>
      </c>
      <c r="P120" s="505">
        <f t="shared" si="22"/>
        <v>0</v>
      </c>
      <c r="Q120" s="244"/>
      <c r="R120" s="244"/>
      <c r="S120" s="244"/>
      <c r="T120" s="244"/>
      <c r="U120" s="244"/>
    </row>
    <row r="121" spans="2:21" ht="12.5">
      <c r="B121" s="145" t="str">
        <f t="shared" si="23"/>
        <v/>
      </c>
      <c r="C121" s="496">
        <f>IF(D94="","-",+C120+1)</f>
        <v>2031</v>
      </c>
      <c r="D121" s="350">
        <f>IF(F120+SUM(E$100:E120)=D$93,F120,D$93-SUM(E$100:E120))</f>
        <v>302261.49581731576</v>
      </c>
      <c r="E121" s="510">
        <f>IF(+J97&lt;F120,J97,D121)</f>
        <v>25850.642857142859</v>
      </c>
      <c r="F121" s="511">
        <f t="shared" si="28"/>
        <v>276410.85296017292</v>
      </c>
      <c r="G121" s="511">
        <f t="shared" si="29"/>
        <v>289336.17438874434</v>
      </c>
      <c r="H121" s="646">
        <f t="shared" si="31"/>
        <v>56639.917552530205</v>
      </c>
      <c r="I121" s="573">
        <f t="shared" si="30"/>
        <v>56639.917552530205</v>
      </c>
      <c r="J121" s="505">
        <f t="shared" si="18"/>
        <v>0</v>
      </c>
      <c r="K121" s="505"/>
      <c r="L121" s="513"/>
      <c r="M121" s="505">
        <f t="shared" si="24"/>
        <v>0</v>
      </c>
      <c r="N121" s="513"/>
      <c r="O121" s="505">
        <f t="shared" si="21"/>
        <v>0</v>
      </c>
      <c r="P121" s="505">
        <f t="shared" si="22"/>
        <v>0</v>
      </c>
      <c r="Q121" s="244"/>
      <c r="R121" s="244"/>
      <c r="S121" s="244"/>
      <c r="T121" s="244"/>
      <c r="U121" s="244"/>
    </row>
    <row r="122" spans="2:21" ht="12.5">
      <c r="B122" s="145" t="str">
        <f t="shared" si="23"/>
        <v/>
      </c>
      <c r="C122" s="496">
        <f>IF(D94="","-",+C121+1)</f>
        <v>2032</v>
      </c>
      <c r="D122" s="350">
        <f>IF(F121+SUM(E$100:E121)=D$93,F121,D$93-SUM(E$100:E121))</f>
        <v>276410.85296017292</v>
      </c>
      <c r="E122" s="510">
        <f>IF(+J97&lt;F121,J97,D122)</f>
        <v>25850.642857142859</v>
      </c>
      <c r="F122" s="511">
        <f t="shared" si="28"/>
        <v>250560.21010303005</v>
      </c>
      <c r="G122" s="511">
        <f t="shared" si="29"/>
        <v>263485.5315316015</v>
      </c>
      <c r="H122" s="646">
        <f t="shared" si="31"/>
        <v>53889.060195470025</v>
      </c>
      <c r="I122" s="573">
        <f t="shared" si="30"/>
        <v>53889.060195470025</v>
      </c>
      <c r="J122" s="505">
        <f t="shared" si="18"/>
        <v>0</v>
      </c>
      <c r="K122" s="505"/>
      <c r="L122" s="513"/>
      <c r="M122" s="505">
        <f t="shared" si="24"/>
        <v>0</v>
      </c>
      <c r="N122" s="513"/>
      <c r="O122" s="505">
        <f t="shared" si="21"/>
        <v>0</v>
      </c>
      <c r="P122" s="505">
        <f t="shared" si="22"/>
        <v>0</v>
      </c>
      <c r="Q122" s="244"/>
      <c r="R122" s="244"/>
      <c r="S122" s="244"/>
      <c r="T122" s="244"/>
      <c r="U122" s="244"/>
    </row>
    <row r="123" spans="2:21" ht="12.5">
      <c r="B123" s="145" t="str">
        <f t="shared" si="23"/>
        <v/>
      </c>
      <c r="C123" s="496">
        <f>IF(D94="","-",+C122+1)</f>
        <v>2033</v>
      </c>
      <c r="D123" s="350">
        <f>IF(F122+SUM(E$100:E122)=D$93,F122,D$93-SUM(E$100:E122))</f>
        <v>250560.21010303005</v>
      </c>
      <c r="E123" s="510">
        <f>IF(+J97&lt;F122,J97,D123)</f>
        <v>25850.642857142859</v>
      </c>
      <c r="F123" s="511">
        <f t="shared" si="28"/>
        <v>224709.56724588718</v>
      </c>
      <c r="G123" s="511">
        <f t="shared" si="29"/>
        <v>237634.88867445861</v>
      </c>
      <c r="H123" s="646">
        <f t="shared" si="31"/>
        <v>51138.202838409845</v>
      </c>
      <c r="I123" s="573">
        <f t="shared" si="30"/>
        <v>51138.202838409845</v>
      </c>
      <c r="J123" s="505">
        <f t="shared" si="18"/>
        <v>0</v>
      </c>
      <c r="K123" s="505"/>
      <c r="L123" s="513"/>
      <c r="M123" s="505">
        <f t="shared" si="24"/>
        <v>0</v>
      </c>
      <c r="N123" s="513"/>
      <c r="O123" s="505">
        <f t="shared" si="21"/>
        <v>0</v>
      </c>
      <c r="P123" s="505">
        <f t="shared" si="22"/>
        <v>0</v>
      </c>
      <c r="Q123" s="244"/>
      <c r="R123" s="244"/>
      <c r="S123" s="244"/>
      <c r="T123" s="244"/>
      <c r="U123" s="244"/>
    </row>
    <row r="124" spans="2:21" ht="12.5">
      <c r="B124" s="145" t="str">
        <f t="shared" si="23"/>
        <v/>
      </c>
      <c r="C124" s="496">
        <f>IF(D94="","-",+C123+1)</f>
        <v>2034</v>
      </c>
      <c r="D124" s="350">
        <f>IF(F123+SUM(E$100:E123)=D$93,F123,D$93-SUM(E$100:E123))</f>
        <v>224709.56724588718</v>
      </c>
      <c r="E124" s="510">
        <f>IF(+J97&lt;F123,J97,D124)</f>
        <v>25850.642857142859</v>
      </c>
      <c r="F124" s="511">
        <f t="shared" si="28"/>
        <v>198858.92438874432</v>
      </c>
      <c r="G124" s="511">
        <f t="shared" si="29"/>
        <v>211784.24581731576</v>
      </c>
      <c r="H124" s="646">
        <f t="shared" si="31"/>
        <v>48387.345481349665</v>
      </c>
      <c r="I124" s="573">
        <f t="shared" si="30"/>
        <v>48387.345481349665</v>
      </c>
      <c r="J124" s="505">
        <f t="shared" si="18"/>
        <v>0</v>
      </c>
      <c r="K124" s="505"/>
      <c r="L124" s="513"/>
      <c r="M124" s="505">
        <f t="shared" si="24"/>
        <v>0</v>
      </c>
      <c r="N124" s="513"/>
      <c r="O124" s="505">
        <f t="shared" si="21"/>
        <v>0</v>
      </c>
      <c r="P124" s="505">
        <f t="shared" si="22"/>
        <v>0</v>
      </c>
      <c r="Q124" s="244"/>
      <c r="R124" s="244"/>
      <c r="S124" s="244"/>
      <c r="T124" s="244"/>
      <c r="U124" s="244"/>
    </row>
    <row r="125" spans="2:21" ht="12.5">
      <c r="B125" s="145" t="str">
        <f t="shared" si="23"/>
        <v/>
      </c>
      <c r="C125" s="496">
        <f>IF(D94="","-",+C124+1)</f>
        <v>2035</v>
      </c>
      <c r="D125" s="350">
        <f>IF(F124+SUM(E$100:E124)=D$93,F124,D$93-SUM(E$100:E124))</f>
        <v>198858.92438874432</v>
      </c>
      <c r="E125" s="510">
        <f>IF(+J97&lt;F124,J97,D125)</f>
        <v>25850.642857142859</v>
      </c>
      <c r="F125" s="511">
        <f t="shared" si="28"/>
        <v>173008.28153160145</v>
      </c>
      <c r="G125" s="511">
        <f t="shared" si="29"/>
        <v>185933.60296017287</v>
      </c>
      <c r="H125" s="646">
        <f t="shared" si="31"/>
        <v>45636.488124289484</v>
      </c>
      <c r="I125" s="573">
        <f t="shared" si="30"/>
        <v>45636.488124289484</v>
      </c>
      <c r="J125" s="505">
        <f t="shared" si="18"/>
        <v>0</v>
      </c>
      <c r="K125" s="505"/>
      <c r="L125" s="513"/>
      <c r="M125" s="505">
        <f t="shared" si="24"/>
        <v>0</v>
      </c>
      <c r="N125" s="513"/>
      <c r="O125" s="505">
        <f t="shared" si="21"/>
        <v>0</v>
      </c>
      <c r="P125" s="505">
        <f t="shared" si="22"/>
        <v>0</v>
      </c>
      <c r="Q125" s="244"/>
      <c r="R125" s="244"/>
      <c r="S125" s="244"/>
      <c r="T125" s="244"/>
      <c r="U125" s="244"/>
    </row>
    <row r="126" spans="2:21" ht="12.5">
      <c r="B126" s="145" t="str">
        <f t="shared" si="23"/>
        <v/>
      </c>
      <c r="C126" s="496">
        <f>IF(D94="","-",+C125+1)</f>
        <v>2036</v>
      </c>
      <c r="D126" s="350">
        <f>IF(F125+SUM(E$100:E125)=D$93,F125,D$93-SUM(E$100:E125))</f>
        <v>173008.28153160145</v>
      </c>
      <c r="E126" s="510">
        <f>IF(+J97&lt;F125,J97,D126)</f>
        <v>25850.642857142859</v>
      </c>
      <c r="F126" s="511">
        <f t="shared" si="28"/>
        <v>147157.63867445858</v>
      </c>
      <c r="G126" s="511">
        <f t="shared" si="29"/>
        <v>160082.96010303003</v>
      </c>
      <c r="H126" s="646">
        <f t="shared" si="31"/>
        <v>42885.630767229304</v>
      </c>
      <c r="I126" s="573">
        <f t="shared" si="30"/>
        <v>42885.630767229304</v>
      </c>
      <c r="J126" s="505">
        <f t="shared" si="18"/>
        <v>0</v>
      </c>
      <c r="K126" s="505"/>
      <c r="L126" s="513"/>
      <c r="M126" s="505">
        <f t="shared" si="24"/>
        <v>0</v>
      </c>
      <c r="N126" s="513"/>
      <c r="O126" s="505">
        <f t="shared" si="21"/>
        <v>0</v>
      </c>
      <c r="P126" s="505">
        <f t="shared" si="22"/>
        <v>0</v>
      </c>
      <c r="Q126" s="244"/>
      <c r="R126" s="244"/>
      <c r="S126" s="244"/>
      <c r="T126" s="244"/>
      <c r="U126" s="244"/>
    </row>
    <row r="127" spans="2:21" ht="12.5">
      <c r="B127" s="145" t="str">
        <f t="shared" si="23"/>
        <v/>
      </c>
      <c r="C127" s="496">
        <f>IF(D94="","-",+C126+1)</f>
        <v>2037</v>
      </c>
      <c r="D127" s="350">
        <f>IF(F126+SUM(E$100:E126)=D$93,F126,D$93-SUM(E$100:E126))</f>
        <v>147157.63867445858</v>
      </c>
      <c r="E127" s="510">
        <f>IF(+J97&lt;F126,J97,D127)</f>
        <v>25850.642857142859</v>
      </c>
      <c r="F127" s="511">
        <f t="shared" si="28"/>
        <v>121306.99581731572</v>
      </c>
      <c r="G127" s="511">
        <f t="shared" si="29"/>
        <v>134232.31724588716</v>
      </c>
      <c r="H127" s="646">
        <f t="shared" si="31"/>
        <v>40134.773410169131</v>
      </c>
      <c r="I127" s="573">
        <f t="shared" si="30"/>
        <v>40134.773410169131</v>
      </c>
      <c r="J127" s="505">
        <f t="shared" si="18"/>
        <v>0</v>
      </c>
      <c r="K127" s="505"/>
      <c r="L127" s="513"/>
      <c r="M127" s="505">
        <f t="shared" si="24"/>
        <v>0</v>
      </c>
      <c r="N127" s="513"/>
      <c r="O127" s="505">
        <f t="shared" si="21"/>
        <v>0</v>
      </c>
      <c r="P127" s="505">
        <f t="shared" si="22"/>
        <v>0</v>
      </c>
      <c r="Q127" s="244"/>
      <c r="R127" s="244"/>
      <c r="S127" s="244"/>
      <c r="T127" s="244"/>
      <c r="U127" s="244"/>
    </row>
    <row r="128" spans="2:21" ht="12.5">
      <c r="B128" s="145" t="str">
        <f t="shared" si="23"/>
        <v/>
      </c>
      <c r="C128" s="496">
        <f>IF(D94="","-",+C127+1)</f>
        <v>2038</v>
      </c>
      <c r="D128" s="350">
        <f>IF(F127+SUM(E$100:E127)=D$93,F127,D$93-SUM(E$100:E127))</f>
        <v>121306.99581731572</v>
      </c>
      <c r="E128" s="510">
        <f>IF(+J97&lt;F127,J97,D128)</f>
        <v>25850.642857142859</v>
      </c>
      <c r="F128" s="511">
        <f t="shared" si="28"/>
        <v>95456.352960172866</v>
      </c>
      <c r="G128" s="511">
        <f t="shared" si="29"/>
        <v>108381.67438874429</v>
      </c>
      <c r="H128" s="646">
        <f t="shared" si="31"/>
        <v>37383.916053108944</v>
      </c>
      <c r="I128" s="573">
        <f t="shared" si="30"/>
        <v>37383.916053108944</v>
      </c>
      <c r="J128" s="505">
        <f t="shared" si="18"/>
        <v>0</v>
      </c>
      <c r="K128" s="505"/>
      <c r="L128" s="513"/>
      <c r="M128" s="505">
        <f t="shared" si="24"/>
        <v>0</v>
      </c>
      <c r="N128" s="513"/>
      <c r="O128" s="505">
        <f t="shared" si="21"/>
        <v>0</v>
      </c>
      <c r="P128" s="505">
        <f t="shared" si="22"/>
        <v>0</v>
      </c>
      <c r="Q128" s="244"/>
      <c r="R128" s="244"/>
      <c r="S128" s="244"/>
      <c r="T128" s="244"/>
      <c r="U128" s="244"/>
    </row>
    <row r="129" spans="2:21" ht="12.5">
      <c r="B129" s="145" t="str">
        <f t="shared" si="23"/>
        <v/>
      </c>
      <c r="C129" s="496">
        <f>IF(D94="","-",+C128+1)</f>
        <v>2039</v>
      </c>
      <c r="D129" s="350">
        <f>IF(F128+SUM(E$100:E128)=D$93,F128,D$93-SUM(E$100:E128))</f>
        <v>95456.352960172866</v>
      </c>
      <c r="E129" s="510">
        <f>IF(+J97&lt;F128,J97,D129)</f>
        <v>25850.642857142859</v>
      </c>
      <c r="F129" s="511">
        <f t="shared" si="28"/>
        <v>69605.710103030011</v>
      </c>
      <c r="G129" s="511">
        <f t="shared" si="29"/>
        <v>82531.031531601446</v>
      </c>
      <c r="H129" s="646">
        <f t="shared" si="31"/>
        <v>34633.058696048771</v>
      </c>
      <c r="I129" s="573">
        <f t="shared" si="30"/>
        <v>34633.058696048771</v>
      </c>
      <c r="J129" s="505">
        <f t="shared" si="18"/>
        <v>0</v>
      </c>
      <c r="K129" s="505"/>
      <c r="L129" s="513"/>
      <c r="M129" s="505">
        <f t="shared" si="24"/>
        <v>0</v>
      </c>
      <c r="N129" s="513"/>
      <c r="O129" s="505">
        <f t="shared" si="21"/>
        <v>0</v>
      </c>
      <c r="P129" s="505">
        <f t="shared" si="22"/>
        <v>0</v>
      </c>
      <c r="Q129" s="244"/>
      <c r="R129" s="244"/>
      <c r="S129" s="244"/>
      <c r="T129" s="244"/>
      <c r="U129" s="244"/>
    </row>
    <row r="130" spans="2:21" ht="12.5">
      <c r="B130" s="145" t="str">
        <f t="shared" si="23"/>
        <v/>
      </c>
      <c r="C130" s="496">
        <f>IF(D94="","-",+C129+1)</f>
        <v>2040</v>
      </c>
      <c r="D130" s="350">
        <f>IF(F129+SUM(E$100:E129)=D$93,F129,D$93-SUM(E$100:E129))</f>
        <v>69605.710103030011</v>
      </c>
      <c r="E130" s="510">
        <f>IF(+J97&lt;F129,J97,D130)</f>
        <v>25850.642857142859</v>
      </c>
      <c r="F130" s="511">
        <f t="shared" si="28"/>
        <v>43755.067245887156</v>
      </c>
      <c r="G130" s="511">
        <f t="shared" si="29"/>
        <v>56680.388674458583</v>
      </c>
      <c r="H130" s="646">
        <f t="shared" si="31"/>
        <v>31882.201338988591</v>
      </c>
      <c r="I130" s="573">
        <f t="shared" si="30"/>
        <v>31882.201338988591</v>
      </c>
      <c r="J130" s="505">
        <f t="shared" si="18"/>
        <v>0</v>
      </c>
      <c r="K130" s="505"/>
      <c r="L130" s="513"/>
      <c r="M130" s="505">
        <f t="shared" si="24"/>
        <v>0</v>
      </c>
      <c r="N130" s="513"/>
      <c r="O130" s="505">
        <f t="shared" si="21"/>
        <v>0</v>
      </c>
      <c r="P130" s="505">
        <f t="shared" si="22"/>
        <v>0</v>
      </c>
      <c r="Q130" s="244"/>
      <c r="R130" s="244"/>
      <c r="S130" s="244"/>
      <c r="T130" s="244"/>
      <c r="U130" s="244"/>
    </row>
    <row r="131" spans="2:21" ht="12.5">
      <c r="B131" s="145" t="str">
        <f t="shared" si="23"/>
        <v/>
      </c>
      <c r="C131" s="496">
        <f>IF(D94="","-",+C130+1)</f>
        <v>2041</v>
      </c>
      <c r="D131" s="350">
        <f>IF(F130+SUM(E$100:E130)=D$93,F130,D$93-SUM(E$100:E130))</f>
        <v>43755.067245887156</v>
      </c>
      <c r="E131" s="510">
        <f>IF(+J97&lt;F130,J97,D131)</f>
        <v>25850.642857142859</v>
      </c>
      <c r="F131" s="511">
        <f t="shared" si="28"/>
        <v>17904.424388744297</v>
      </c>
      <c r="G131" s="511">
        <f t="shared" si="29"/>
        <v>30829.745817315728</v>
      </c>
      <c r="H131" s="646">
        <f t="shared" si="31"/>
        <v>29131.343981928414</v>
      </c>
      <c r="I131" s="573">
        <f t="shared" si="30"/>
        <v>29131.343981928414</v>
      </c>
      <c r="J131" s="505">
        <f t="shared" si="18"/>
        <v>0</v>
      </c>
      <c r="K131" s="505"/>
      <c r="L131" s="513"/>
      <c r="M131" s="505">
        <f t="shared" si="24"/>
        <v>0</v>
      </c>
      <c r="N131" s="513"/>
      <c r="O131" s="505">
        <f t="shared" si="21"/>
        <v>0</v>
      </c>
      <c r="P131" s="505">
        <f t="shared" si="22"/>
        <v>0</v>
      </c>
      <c r="Q131" s="244"/>
      <c r="R131" s="244"/>
      <c r="S131" s="244"/>
      <c r="T131" s="244"/>
      <c r="U131" s="244"/>
    </row>
    <row r="132" spans="2:21" ht="12.5">
      <c r="B132" s="145" t="str">
        <f t="shared" si="23"/>
        <v/>
      </c>
      <c r="C132" s="496">
        <f>IF(D94="","-",+C131+1)</f>
        <v>2042</v>
      </c>
      <c r="D132" s="350">
        <f>IF(F131+SUM(E$100:E131)=D$93,F131,D$93-SUM(E$100:E131))</f>
        <v>17904.424388744297</v>
      </c>
      <c r="E132" s="510">
        <f>IF(+J97&lt;F131,J97,D132)</f>
        <v>17904.424388744297</v>
      </c>
      <c r="F132" s="511">
        <f t="shared" ref="F132:F155" si="32">+D132-E132</f>
        <v>0</v>
      </c>
      <c r="G132" s="511">
        <f t="shared" ref="G132:G155" si="33">+(F132+D132)/2</f>
        <v>8952.2121943721486</v>
      </c>
      <c r="H132" s="646">
        <f t="shared" si="31"/>
        <v>18857.060611872032</v>
      </c>
      <c r="I132" s="573">
        <f t="shared" si="30"/>
        <v>18857.060611872032</v>
      </c>
      <c r="J132" s="505">
        <f t="shared" ref="J132:J155" si="34">+I132-H132</f>
        <v>0</v>
      </c>
      <c r="K132" s="505"/>
      <c r="L132" s="513"/>
      <c r="M132" s="505">
        <f t="shared" ref="M132:M155" si="35">IF(L132&lt;&gt;0,+H132-L132,0)</f>
        <v>0</v>
      </c>
      <c r="N132" s="513"/>
      <c r="O132" s="505">
        <f t="shared" ref="O132:O155" si="36">IF(N132&lt;&gt;0,+I132-N132,0)</f>
        <v>0</v>
      </c>
      <c r="P132" s="505">
        <f t="shared" ref="P132:P155" si="37">+O132-M132</f>
        <v>0</v>
      </c>
      <c r="Q132" s="244"/>
      <c r="R132" s="244"/>
      <c r="S132" s="244"/>
      <c r="T132" s="244"/>
      <c r="U132" s="244"/>
    </row>
    <row r="133" spans="2:21" ht="12.5">
      <c r="B133" s="145" t="str">
        <f t="shared" si="23"/>
        <v/>
      </c>
      <c r="C133" s="496">
        <f>IF(D94="","-",+C132+1)</f>
        <v>2043</v>
      </c>
      <c r="D133" s="350">
        <f>IF(F132+SUM(E$100:E132)=D$93,F132,D$93-SUM(E$100:E132))</f>
        <v>0</v>
      </c>
      <c r="E133" s="510">
        <f>IF(+J97&lt;F132,J97,D133)</f>
        <v>0</v>
      </c>
      <c r="F133" s="511">
        <f t="shared" si="32"/>
        <v>0</v>
      </c>
      <c r="G133" s="511">
        <f t="shared" si="33"/>
        <v>0</v>
      </c>
      <c r="H133" s="646">
        <f t="shared" si="31"/>
        <v>0</v>
      </c>
      <c r="I133" s="573">
        <f t="shared" ref="I133:I155" si="38">+J$96*G133+E133</f>
        <v>0</v>
      </c>
      <c r="J133" s="505">
        <f t="shared" si="34"/>
        <v>0</v>
      </c>
      <c r="K133" s="505"/>
      <c r="L133" s="513"/>
      <c r="M133" s="505">
        <f t="shared" si="35"/>
        <v>0</v>
      </c>
      <c r="N133" s="513"/>
      <c r="O133" s="505">
        <f t="shared" si="36"/>
        <v>0</v>
      </c>
      <c r="P133" s="505">
        <f t="shared" si="37"/>
        <v>0</v>
      </c>
      <c r="Q133" s="244"/>
      <c r="R133" s="244"/>
      <c r="S133" s="244"/>
      <c r="T133" s="244"/>
      <c r="U133" s="244"/>
    </row>
    <row r="134" spans="2:21" ht="12.5">
      <c r="B134" s="145" t="str">
        <f t="shared" si="23"/>
        <v/>
      </c>
      <c r="C134" s="496">
        <f>IF(D94="","-",+C133+1)</f>
        <v>2044</v>
      </c>
      <c r="D134" s="350">
        <f>IF(F133+SUM(E$100:E133)=D$93,F133,D$93-SUM(E$100:E133))</f>
        <v>0</v>
      </c>
      <c r="E134" s="510">
        <f>IF(+J97&lt;F133,J97,D134)</f>
        <v>0</v>
      </c>
      <c r="F134" s="511">
        <f t="shared" si="32"/>
        <v>0</v>
      </c>
      <c r="G134" s="511">
        <f t="shared" si="33"/>
        <v>0</v>
      </c>
      <c r="H134" s="646">
        <f t="shared" si="31"/>
        <v>0</v>
      </c>
      <c r="I134" s="573">
        <f t="shared" si="38"/>
        <v>0</v>
      </c>
      <c r="J134" s="505">
        <f t="shared" si="34"/>
        <v>0</v>
      </c>
      <c r="K134" s="505"/>
      <c r="L134" s="513"/>
      <c r="M134" s="505">
        <f t="shared" si="35"/>
        <v>0</v>
      </c>
      <c r="N134" s="513"/>
      <c r="O134" s="505">
        <f t="shared" si="36"/>
        <v>0</v>
      </c>
      <c r="P134" s="505">
        <f t="shared" si="37"/>
        <v>0</v>
      </c>
      <c r="Q134" s="244"/>
      <c r="R134" s="244"/>
      <c r="S134" s="244"/>
      <c r="T134" s="244"/>
      <c r="U134" s="244"/>
    </row>
    <row r="135" spans="2:21" ht="12.5">
      <c r="B135" s="145" t="str">
        <f t="shared" si="23"/>
        <v/>
      </c>
      <c r="C135" s="496">
        <f>IF(D94="","-",+C134+1)</f>
        <v>2045</v>
      </c>
      <c r="D135" s="350">
        <f>IF(F134+SUM(E$100:E134)=D$93,F134,D$93-SUM(E$100:E134))</f>
        <v>0</v>
      </c>
      <c r="E135" s="510">
        <f>IF(+J97&lt;F134,J97,D135)</f>
        <v>0</v>
      </c>
      <c r="F135" s="511">
        <f t="shared" si="32"/>
        <v>0</v>
      </c>
      <c r="G135" s="511">
        <f t="shared" si="33"/>
        <v>0</v>
      </c>
      <c r="H135" s="646">
        <f t="shared" si="31"/>
        <v>0</v>
      </c>
      <c r="I135" s="573">
        <f t="shared" si="38"/>
        <v>0</v>
      </c>
      <c r="J135" s="505">
        <f t="shared" si="34"/>
        <v>0</v>
      </c>
      <c r="K135" s="505"/>
      <c r="L135" s="513"/>
      <c r="M135" s="505">
        <f t="shared" si="35"/>
        <v>0</v>
      </c>
      <c r="N135" s="513"/>
      <c r="O135" s="505">
        <f t="shared" si="36"/>
        <v>0</v>
      </c>
      <c r="P135" s="505">
        <f t="shared" si="37"/>
        <v>0</v>
      </c>
      <c r="Q135" s="244"/>
      <c r="R135" s="244"/>
      <c r="S135" s="244"/>
      <c r="T135" s="244"/>
      <c r="U135" s="244"/>
    </row>
    <row r="136" spans="2:21" ht="12.5">
      <c r="B136" s="145" t="str">
        <f t="shared" si="23"/>
        <v/>
      </c>
      <c r="C136" s="496">
        <f>IF(D94="","-",+C135+1)</f>
        <v>2046</v>
      </c>
      <c r="D136" s="350">
        <f>IF(F135+SUM(E$100:E135)=D$93,F135,D$93-SUM(E$100:E135))</f>
        <v>0</v>
      </c>
      <c r="E136" s="510">
        <f>IF(+J97&lt;F135,J97,D136)</f>
        <v>0</v>
      </c>
      <c r="F136" s="511">
        <f t="shared" si="32"/>
        <v>0</v>
      </c>
      <c r="G136" s="511">
        <f t="shared" si="33"/>
        <v>0</v>
      </c>
      <c r="H136" s="646">
        <f t="shared" si="31"/>
        <v>0</v>
      </c>
      <c r="I136" s="573">
        <f t="shared" si="38"/>
        <v>0</v>
      </c>
      <c r="J136" s="505">
        <f t="shared" si="34"/>
        <v>0</v>
      </c>
      <c r="K136" s="505"/>
      <c r="L136" s="513"/>
      <c r="M136" s="505">
        <f t="shared" si="35"/>
        <v>0</v>
      </c>
      <c r="N136" s="513"/>
      <c r="O136" s="505">
        <f t="shared" si="36"/>
        <v>0</v>
      </c>
      <c r="P136" s="505">
        <f t="shared" si="37"/>
        <v>0</v>
      </c>
      <c r="Q136" s="244"/>
      <c r="R136" s="244"/>
      <c r="S136" s="244"/>
      <c r="T136" s="244"/>
      <c r="U136" s="244"/>
    </row>
    <row r="137" spans="2:21" ht="12.5">
      <c r="B137" s="145" t="str">
        <f t="shared" si="23"/>
        <v/>
      </c>
      <c r="C137" s="496">
        <f>IF(D94="","-",+C136+1)</f>
        <v>2047</v>
      </c>
      <c r="D137" s="350">
        <f>IF(F136+SUM(E$100:E136)=D$93,F136,D$93-SUM(E$100:E136))</f>
        <v>0</v>
      </c>
      <c r="E137" s="510">
        <f>IF(+J97&lt;F136,J97,D137)</f>
        <v>0</v>
      </c>
      <c r="F137" s="511">
        <f t="shared" si="32"/>
        <v>0</v>
      </c>
      <c r="G137" s="511">
        <f t="shared" si="33"/>
        <v>0</v>
      </c>
      <c r="H137" s="646">
        <f t="shared" si="31"/>
        <v>0</v>
      </c>
      <c r="I137" s="573">
        <f t="shared" si="38"/>
        <v>0</v>
      </c>
      <c r="J137" s="505">
        <f t="shared" si="34"/>
        <v>0</v>
      </c>
      <c r="K137" s="505"/>
      <c r="L137" s="513"/>
      <c r="M137" s="505">
        <f t="shared" si="35"/>
        <v>0</v>
      </c>
      <c r="N137" s="513"/>
      <c r="O137" s="505">
        <f t="shared" si="36"/>
        <v>0</v>
      </c>
      <c r="P137" s="505">
        <f t="shared" si="37"/>
        <v>0</v>
      </c>
      <c r="Q137" s="244"/>
      <c r="R137" s="244"/>
      <c r="S137" s="244"/>
      <c r="T137" s="244"/>
      <c r="U137" s="244"/>
    </row>
    <row r="138" spans="2:21" ht="12.5">
      <c r="B138" s="145" t="str">
        <f t="shared" si="23"/>
        <v/>
      </c>
      <c r="C138" s="496">
        <f>IF(D94="","-",+C137+1)</f>
        <v>2048</v>
      </c>
      <c r="D138" s="350">
        <f>IF(F137+SUM(E$100:E137)=D$93,F137,D$93-SUM(E$100:E137))</f>
        <v>0</v>
      </c>
      <c r="E138" s="510">
        <f>IF(+J97&lt;F137,J97,D138)</f>
        <v>0</v>
      </c>
      <c r="F138" s="511">
        <f t="shared" si="32"/>
        <v>0</v>
      </c>
      <c r="G138" s="511">
        <f t="shared" si="33"/>
        <v>0</v>
      </c>
      <c r="H138" s="646">
        <f t="shared" si="31"/>
        <v>0</v>
      </c>
      <c r="I138" s="573">
        <f t="shared" si="38"/>
        <v>0</v>
      </c>
      <c r="J138" s="505">
        <f t="shared" si="34"/>
        <v>0</v>
      </c>
      <c r="K138" s="505"/>
      <c r="L138" s="513"/>
      <c r="M138" s="505">
        <f t="shared" si="35"/>
        <v>0</v>
      </c>
      <c r="N138" s="513"/>
      <c r="O138" s="505">
        <f t="shared" si="36"/>
        <v>0</v>
      </c>
      <c r="P138" s="505">
        <f t="shared" si="37"/>
        <v>0</v>
      </c>
      <c r="Q138" s="244"/>
      <c r="R138" s="244"/>
      <c r="S138" s="244"/>
      <c r="T138" s="244"/>
      <c r="U138" s="244"/>
    </row>
    <row r="139" spans="2:21" ht="12.5">
      <c r="B139" s="145" t="str">
        <f t="shared" si="23"/>
        <v/>
      </c>
      <c r="C139" s="496">
        <f>IF(D94="","-",+C138+1)</f>
        <v>2049</v>
      </c>
      <c r="D139" s="350">
        <f>IF(F138+SUM(E$100:E138)=D$93,F138,D$93-SUM(E$100:E138))</f>
        <v>0</v>
      </c>
      <c r="E139" s="510">
        <f>IF(+J97&lt;F138,J97,D139)</f>
        <v>0</v>
      </c>
      <c r="F139" s="511">
        <f t="shared" si="32"/>
        <v>0</v>
      </c>
      <c r="G139" s="511">
        <f t="shared" si="33"/>
        <v>0</v>
      </c>
      <c r="H139" s="646">
        <f t="shared" si="31"/>
        <v>0</v>
      </c>
      <c r="I139" s="573">
        <f t="shared" si="38"/>
        <v>0</v>
      </c>
      <c r="J139" s="505">
        <f t="shared" si="34"/>
        <v>0</v>
      </c>
      <c r="K139" s="505"/>
      <c r="L139" s="513"/>
      <c r="M139" s="505">
        <f t="shared" si="35"/>
        <v>0</v>
      </c>
      <c r="N139" s="513"/>
      <c r="O139" s="505">
        <f t="shared" si="36"/>
        <v>0</v>
      </c>
      <c r="P139" s="505">
        <f t="shared" si="37"/>
        <v>0</v>
      </c>
      <c r="Q139" s="244"/>
      <c r="R139" s="244"/>
      <c r="S139" s="244"/>
      <c r="T139" s="244"/>
      <c r="U139" s="244"/>
    </row>
    <row r="140" spans="2:21" ht="12.5">
      <c r="B140" s="145" t="str">
        <f t="shared" si="23"/>
        <v/>
      </c>
      <c r="C140" s="496">
        <f>IF(D94="","-",+C139+1)</f>
        <v>2050</v>
      </c>
      <c r="D140" s="350">
        <f>IF(F139+SUM(E$100:E139)=D$93,F139,D$93-SUM(E$100:E139))</f>
        <v>0</v>
      </c>
      <c r="E140" s="510">
        <f>IF(+J97&lt;F139,J97,D140)</f>
        <v>0</v>
      </c>
      <c r="F140" s="511">
        <f t="shared" si="32"/>
        <v>0</v>
      </c>
      <c r="G140" s="511">
        <f t="shared" si="33"/>
        <v>0</v>
      </c>
      <c r="H140" s="646">
        <f t="shared" si="31"/>
        <v>0</v>
      </c>
      <c r="I140" s="573">
        <f t="shared" si="38"/>
        <v>0</v>
      </c>
      <c r="J140" s="505">
        <f t="shared" si="34"/>
        <v>0</v>
      </c>
      <c r="K140" s="505"/>
      <c r="L140" s="513"/>
      <c r="M140" s="505">
        <f t="shared" si="35"/>
        <v>0</v>
      </c>
      <c r="N140" s="513"/>
      <c r="O140" s="505">
        <f t="shared" si="36"/>
        <v>0</v>
      </c>
      <c r="P140" s="505">
        <f t="shared" si="37"/>
        <v>0</v>
      </c>
      <c r="Q140" s="244"/>
      <c r="R140" s="244"/>
      <c r="S140" s="244"/>
      <c r="T140" s="244"/>
      <c r="U140" s="244"/>
    </row>
    <row r="141" spans="2:21" ht="12.5">
      <c r="B141" s="145" t="str">
        <f t="shared" si="23"/>
        <v/>
      </c>
      <c r="C141" s="496">
        <f>IF(D94="","-",+C140+1)</f>
        <v>2051</v>
      </c>
      <c r="D141" s="350">
        <f>IF(F140+SUM(E$100:E140)=D$93,F140,D$93-SUM(E$100:E140))</f>
        <v>0</v>
      </c>
      <c r="E141" s="510">
        <f>IF(+J97&lt;F140,J97,D141)</f>
        <v>0</v>
      </c>
      <c r="F141" s="511">
        <f t="shared" si="32"/>
        <v>0</v>
      </c>
      <c r="G141" s="511">
        <f t="shared" si="33"/>
        <v>0</v>
      </c>
      <c r="H141" s="646">
        <f t="shared" si="31"/>
        <v>0</v>
      </c>
      <c r="I141" s="573">
        <f t="shared" si="38"/>
        <v>0</v>
      </c>
      <c r="J141" s="505">
        <f t="shared" si="34"/>
        <v>0</v>
      </c>
      <c r="K141" s="505"/>
      <c r="L141" s="513"/>
      <c r="M141" s="505">
        <f t="shared" si="35"/>
        <v>0</v>
      </c>
      <c r="N141" s="513"/>
      <c r="O141" s="505">
        <f t="shared" si="36"/>
        <v>0</v>
      </c>
      <c r="P141" s="505">
        <f t="shared" si="37"/>
        <v>0</v>
      </c>
      <c r="Q141" s="244"/>
      <c r="R141" s="244"/>
      <c r="S141" s="244"/>
      <c r="T141" s="244"/>
      <c r="U141" s="244"/>
    </row>
    <row r="142" spans="2:21" ht="12.5">
      <c r="B142" s="145" t="str">
        <f t="shared" si="23"/>
        <v/>
      </c>
      <c r="C142" s="496">
        <f>IF(D94="","-",+C141+1)</f>
        <v>2052</v>
      </c>
      <c r="D142" s="350">
        <f>IF(F141+SUM(E$100:E141)=D$93,F141,D$93-SUM(E$100:E141))</f>
        <v>0</v>
      </c>
      <c r="E142" s="510">
        <f>IF(+J97&lt;F141,J97,D142)</f>
        <v>0</v>
      </c>
      <c r="F142" s="511">
        <f t="shared" si="32"/>
        <v>0</v>
      </c>
      <c r="G142" s="511">
        <f t="shared" si="33"/>
        <v>0</v>
      </c>
      <c r="H142" s="646">
        <f t="shared" si="31"/>
        <v>0</v>
      </c>
      <c r="I142" s="573">
        <f t="shared" si="38"/>
        <v>0</v>
      </c>
      <c r="J142" s="505">
        <f t="shared" si="34"/>
        <v>0</v>
      </c>
      <c r="K142" s="505"/>
      <c r="L142" s="513"/>
      <c r="M142" s="505">
        <f t="shared" si="35"/>
        <v>0</v>
      </c>
      <c r="N142" s="513"/>
      <c r="O142" s="505">
        <f t="shared" si="36"/>
        <v>0</v>
      </c>
      <c r="P142" s="505">
        <f t="shared" si="37"/>
        <v>0</v>
      </c>
      <c r="Q142" s="244"/>
      <c r="R142" s="244"/>
      <c r="S142" s="244"/>
      <c r="T142" s="244"/>
      <c r="U142" s="244"/>
    </row>
    <row r="143" spans="2:21" ht="12.5">
      <c r="B143" s="145" t="str">
        <f t="shared" si="23"/>
        <v/>
      </c>
      <c r="C143" s="496">
        <f>IF(D94="","-",+C142+1)</f>
        <v>2053</v>
      </c>
      <c r="D143" s="350">
        <f>IF(F142+SUM(E$100:E142)=D$93,F142,D$93-SUM(E$100:E142))</f>
        <v>0</v>
      </c>
      <c r="E143" s="510">
        <f>IF(+J97&lt;F142,J97,D143)</f>
        <v>0</v>
      </c>
      <c r="F143" s="511">
        <f t="shared" si="32"/>
        <v>0</v>
      </c>
      <c r="G143" s="511">
        <f t="shared" si="33"/>
        <v>0</v>
      </c>
      <c r="H143" s="646">
        <f t="shared" si="31"/>
        <v>0</v>
      </c>
      <c r="I143" s="573">
        <f t="shared" si="38"/>
        <v>0</v>
      </c>
      <c r="J143" s="505">
        <f t="shared" si="34"/>
        <v>0</v>
      </c>
      <c r="K143" s="505"/>
      <c r="L143" s="513"/>
      <c r="M143" s="505">
        <f t="shared" si="35"/>
        <v>0</v>
      </c>
      <c r="N143" s="513"/>
      <c r="O143" s="505">
        <f t="shared" si="36"/>
        <v>0</v>
      </c>
      <c r="P143" s="505">
        <f t="shared" si="37"/>
        <v>0</v>
      </c>
      <c r="Q143" s="244"/>
      <c r="R143" s="244"/>
      <c r="S143" s="244"/>
      <c r="T143" s="244"/>
      <c r="U143" s="244"/>
    </row>
    <row r="144" spans="2:21" ht="12.5">
      <c r="B144" s="145" t="str">
        <f t="shared" si="23"/>
        <v/>
      </c>
      <c r="C144" s="496">
        <f>IF(D94="","-",+C143+1)</f>
        <v>2054</v>
      </c>
      <c r="D144" s="350">
        <f>IF(F143+SUM(E$100:E143)=D$93,F143,D$93-SUM(E$100:E143))</f>
        <v>0</v>
      </c>
      <c r="E144" s="510">
        <f>IF(+J97&lt;F143,J97,D144)</f>
        <v>0</v>
      </c>
      <c r="F144" s="511">
        <f t="shared" si="32"/>
        <v>0</v>
      </c>
      <c r="G144" s="511">
        <f t="shared" si="33"/>
        <v>0</v>
      </c>
      <c r="H144" s="646">
        <f t="shared" si="31"/>
        <v>0</v>
      </c>
      <c r="I144" s="573">
        <f t="shared" si="38"/>
        <v>0</v>
      </c>
      <c r="J144" s="505">
        <f t="shared" si="34"/>
        <v>0</v>
      </c>
      <c r="K144" s="505"/>
      <c r="L144" s="513"/>
      <c r="M144" s="505">
        <f t="shared" si="35"/>
        <v>0</v>
      </c>
      <c r="N144" s="513"/>
      <c r="O144" s="505">
        <f t="shared" si="36"/>
        <v>0</v>
      </c>
      <c r="P144" s="505">
        <f t="shared" si="37"/>
        <v>0</v>
      </c>
      <c r="Q144" s="244"/>
      <c r="R144" s="244"/>
      <c r="S144" s="244"/>
      <c r="T144" s="244"/>
      <c r="U144" s="244"/>
    </row>
    <row r="145" spans="2:21" ht="12.5">
      <c r="B145" s="145" t="str">
        <f t="shared" si="23"/>
        <v/>
      </c>
      <c r="C145" s="496">
        <f>IF(D94="","-",+C144+1)</f>
        <v>2055</v>
      </c>
      <c r="D145" s="350">
        <f>IF(F144+SUM(E$100:E144)=D$93,F144,D$93-SUM(E$100:E144))</f>
        <v>0</v>
      </c>
      <c r="E145" s="510">
        <f>IF(+J97&lt;F144,J97,D145)</f>
        <v>0</v>
      </c>
      <c r="F145" s="511">
        <f t="shared" si="32"/>
        <v>0</v>
      </c>
      <c r="G145" s="511">
        <f t="shared" si="33"/>
        <v>0</v>
      </c>
      <c r="H145" s="646">
        <f t="shared" si="31"/>
        <v>0</v>
      </c>
      <c r="I145" s="573">
        <f t="shared" si="38"/>
        <v>0</v>
      </c>
      <c r="J145" s="505">
        <f t="shared" si="34"/>
        <v>0</v>
      </c>
      <c r="K145" s="505"/>
      <c r="L145" s="513"/>
      <c r="M145" s="505">
        <f t="shared" si="35"/>
        <v>0</v>
      </c>
      <c r="N145" s="513"/>
      <c r="O145" s="505">
        <f t="shared" si="36"/>
        <v>0</v>
      </c>
      <c r="P145" s="505">
        <f t="shared" si="37"/>
        <v>0</v>
      </c>
      <c r="Q145" s="244"/>
      <c r="R145" s="244"/>
      <c r="S145" s="244"/>
      <c r="T145" s="244"/>
      <c r="U145" s="244"/>
    </row>
    <row r="146" spans="2:21" ht="12.5">
      <c r="B146" s="145" t="str">
        <f t="shared" si="23"/>
        <v/>
      </c>
      <c r="C146" s="496">
        <f>IF(D94="","-",+C145+1)</f>
        <v>2056</v>
      </c>
      <c r="D146" s="350">
        <f>IF(F145+SUM(E$100:E145)=D$93,F145,D$93-SUM(E$100:E145))</f>
        <v>0</v>
      </c>
      <c r="E146" s="510">
        <f>IF(+J97&lt;F145,J97,D146)</f>
        <v>0</v>
      </c>
      <c r="F146" s="511">
        <f t="shared" si="32"/>
        <v>0</v>
      </c>
      <c r="G146" s="511">
        <f t="shared" si="33"/>
        <v>0</v>
      </c>
      <c r="H146" s="646">
        <f t="shared" si="31"/>
        <v>0</v>
      </c>
      <c r="I146" s="573">
        <f t="shared" si="38"/>
        <v>0</v>
      </c>
      <c r="J146" s="505">
        <f t="shared" si="34"/>
        <v>0</v>
      </c>
      <c r="K146" s="505"/>
      <c r="L146" s="513"/>
      <c r="M146" s="505">
        <f t="shared" si="35"/>
        <v>0</v>
      </c>
      <c r="N146" s="513"/>
      <c r="O146" s="505">
        <f t="shared" si="36"/>
        <v>0</v>
      </c>
      <c r="P146" s="505">
        <f t="shared" si="37"/>
        <v>0</v>
      </c>
      <c r="Q146" s="244"/>
      <c r="R146" s="244"/>
      <c r="S146" s="244"/>
      <c r="T146" s="244"/>
      <c r="U146" s="244"/>
    </row>
    <row r="147" spans="2:21" ht="12.5">
      <c r="B147" s="145" t="str">
        <f t="shared" si="23"/>
        <v/>
      </c>
      <c r="C147" s="496">
        <f>IF(D94="","-",+C146+1)</f>
        <v>2057</v>
      </c>
      <c r="D147" s="350">
        <f>IF(F146+SUM(E$100:E146)=D$93,F146,D$93-SUM(E$100:E146))</f>
        <v>0</v>
      </c>
      <c r="E147" s="510">
        <f>IF(+J97&lt;F146,J97,D147)</f>
        <v>0</v>
      </c>
      <c r="F147" s="511">
        <f t="shared" si="32"/>
        <v>0</v>
      </c>
      <c r="G147" s="511">
        <f t="shared" si="33"/>
        <v>0</v>
      </c>
      <c r="H147" s="646">
        <f t="shared" si="31"/>
        <v>0</v>
      </c>
      <c r="I147" s="573">
        <f t="shared" si="38"/>
        <v>0</v>
      </c>
      <c r="J147" s="505">
        <f t="shared" si="34"/>
        <v>0</v>
      </c>
      <c r="K147" s="505"/>
      <c r="L147" s="513"/>
      <c r="M147" s="505">
        <f t="shared" si="35"/>
        <v>0</v>
      </c>
      <c r="N147" s="513"/>
      <c r="O147" s="505">
        <f t="shared" si="36"/>
        <v>0</v>
      </c>
      <c r="P147" s="505">
        <f t="shared" si="37"/>
        <v>0</v>
      </c>
      <c r="Q147" s="244"/>
      <c r="R147" s="244"/>
      <c r="S147" s="244"/>
      <c r="T147" s="244"/>
      <c r="U147" s="244"/>
    </row>
    <row r="148" spans="2:21" ht="12.5">
      <c r="B148" s="145" t="str">
        <f t="shared" si="23"/>
        <v/>
      </c>
      <c r="C148" s="496">
        <f>IF(D94="","-",+C147+1)</f>
        <v>2058</v>
      </c>
      <c r="D148" s="350">
        <f>IF(F147+SUM(E$100:E147)=D$93,F147,D$93-SUM(E$100:E147))</f>
        <v>0</v>
      </c>
      <c r="E148" s="510">
        <f>IF(+J97&lt;F147,J97,D148)</f>
        <v>0</v>
      </c>
      <c r="F148" s="511">
        <f t="shared" si="32"/>
        <v>0</v>
      </c>
      <c r="G148" s="511">
        <f t="shared" si="33"/>
        <v>0</v>
      </c>
      <c r="H148" s="646">
        <f t="shared" si="31"/>
        <v>0</v>
      </c>
      <c r="I148" s="573">
        <f t="shared" si="38"/>
        <v>0</v>
      </c>
      <c r="J148" s="505">
        <f t="shared" si="34"/>
        <v>0</v>
      </c>
      <c r="K148" s="505"/>
      <c r="L148" s="513"/>
      <c r="M148" s="505">
        <f t="shared" si="35"/>
        <v>0</v>
      </c>
      <c r="N148" s="513"/>
      <c r="O148" s="505">
        <f t="shared" si="36"/>
        <v>0</v>
      </c>
      <c r="P148" s="505">
        <f t="shared" si="37"/>
        <v>0</v>
      </c>
      <c r="Q148" s="244"/>
      <c r="R148" s="244"/>
      <c r="S148" s="244"/>
      <c r="T148" s="244"/>
      <c r="U148" s="244"/>
    </row>
    <row r="149" spans="2:21" ht="12.5">
      <c r="B149" s="145" t="str">
        <f t="shared" si="23"/>
        <v/>
      </c>
      <c r="C149" s="496">
        <f>IF(D94="","-",+C148+1)</f>
        <v>2059</v>
      </c>
      <c r="D149" s="350">
        <f>IF(F148+SUM(E$100:E148)=D$93,F148,D$93-SUM(E$100:E148))</f>
        <v>0</v>
      </c>
      <c r="E149" s="510">
        <f>IF(+J97&lt;F148,J97,D149)</f>
        <v>0</v>
      </c>
      <c r="F149" s="511">
        <f t="shared" si="32"/>
        <v>0</v>
      </c>
      <c r="G149" s="511">
        <f t="shared" si="33"/>
        <v>0</v>
      </c>
      <c r="H149" s="646">
        <f t="shared" si="31"/>
        <v>0</v>
      </c>
      <c r="I149" s="573">
        <f t="shared" si="38"/>
        <v>0</v>
      </c>
      <c r="J149" s="505">
        <f t="shared" si="34"/>
        <v>0</v>
      </c>
      <c r="K149" s="505"/>
      <c r="L149" s="513"/>
      <c r="M149" s="505">
        <f t="shared" si="35"/>
        <v>0</v>
      </c>
      <c r="N149" s="513"/>
      <c r="O149" s="505">
        <f t="shared" si="36"/>
        <v>0</v>
      </c>
      <c r="P149" s="505">
        <f t="shared" si="37"/>
        <v>0</v>
      </c>
      <c r="Q149" s="244"/>
      <c r="R149" s="244"/>
      <c r="S149" s="244"/>
      <c r="T149" s="244"/>
      <c r="U149" s="244"/>
    </row>
    <row r="150" spans="2:21" ht="12.5">
      <c r="B150" s="145" t="str">
        <f t="shared" si="23"/>
        <v/>
      </c>
      <c r="C150" s="496">
        <f>IF(D94="","-",+C149+1)</f>
        <v>2060</v>
      </c>
      <c r="D150" s="350">
        <f>IF(F149+SUM(E$100:E149)=D$93,F149,D$93-SUM(E$100:E149))</f>
        <v>0</v>
      </c>
      <c r="E150" s="510">
        <f>IF(+J97&lt;F149,J97,D150)</f>
        <v>0</v>
      </c>
      <c r="F150" s="511">
        <f t="shared" si="32"/>
        <v>0</v>
      </c>
      <c r="G150" s="511">
        <f t="shared" si="33"/>
        <v>0</v>
      </c>
      <c r="H150" s="646">
        <f t="shared" si="31"/>
        <v>0</v>
      </c>
      <c r="I150" s="573">
        <f t="shared" si="38"/>
        <v>0</v>
      </c>
      <c r="J150" s="505">
        <f t="shared" si="34"/>
        <v>0</v>
      </c>
      <c r="K150" s="505"/>
      <c r="L150" s="513"/>
      <c r="M150" s="505">
        <f t="shared" si="35"/>
        <v>0</v>
      </c>
      <c r="N150" s="513"/>
      <c r="O150" s="505">
        <f t="shared" si="36"/>
        <v>0</v>
      </c>
      <c r="P150" s="505">
        <f t="shared" si="37"/>
        <v>0</v>
      </c>
      <c r="Q150" s="244"/>
      <c r="R150" s="244"/>
      <c r="S150" s="244"/>
      <c r="T150" s="244"/>
      <c r="U150" s="244"/>
    </row>
    <row r="151" spans="2:21" ht="12.5">
      <c r="B151" s="145" t="str">
        <f t="shared" si="23"/>
        <v/>
      </c>
      <c r="C151" s="496">
        <f>IF(D94="","-",+C150+1)</f>
        <v>2061</v>
      </c>
      <c r="D151" s="350">
        <f>IF(F150+SUM(E$100:E150)=D$93,F150,D$93-SUM(E$100:E150))</f>
        <v>0</v>
      </c>
      <c r="E151" s="510">
        <f>IF(+J97&lt;F150,J97,D151)</f>
        <v>0</v>
      </c>
      <c r="F151" s="511">
        <f t="shared" si="32"/>
        <v>0</v>
      </c>
      <c r="G151" s="511">
        <f t="shared" si="33"/>
        <v>0</v>
      </c>
      <c r="H151" s="646">
        <f t="shared" si="31"/>
        <v>0</v>
      </c>
      <c r="I151" s="573">
        <f t="shared" si="38"/>
        <v>0</v>
      </c>
      <c r="J151" s="505">
        <f t="shared" si="34"/>
        <v>0</v>
      </c>
      <c r="K151" s="505"/>
      <c r="L151" s="513"/>
      <c r="M151" s="505">
        <f t="shared" si="35"/>
        <v>0</v>
      </c>
      <c r="N151" s="513"/>
      <c r="O151" s="505">
        <f t="shared" si="36"/>
        <v>0</v>
      </c>
      <c r="P151" s="505">
        <f t="shared" si="37"/>
        <v>0</v>
      </c>
      <c r="Q151" s="244"/>
      <c r="R151" s="244"/>
      <c r="S151" s="244"/>
      <c r="T151" s="244"/>
      <c r="U151" s="244"/>
    </row>
    <row r="152" spans="2:21" ht="12.5">
      <c r="B152" s="145" t="str">
        <f t="shared" si="23"/>
        <v/>
      </c>
      <c r="C152" s="496">
        <f>IF(D94="","-",+C151+1)</f>
        <v>2062</v>
      </c>
      <c r="D152" s="350">
        <f>IF(F151+SUM(E$100:E151)=D$93,F151,D$93-SUM(E$100:E151))</f>
        <v>0</v>
      </c>
      <c r="E152" s="510">
        <f>IF(+J97&lt;F151,J97,D152)</f>
        <v>0</v>
      </c>
      <c r="F152" s="511">
        <f t="shared" si="32"/>
        <v>0</v>
      </c>
      <c r="G152" s="511">
        <f t="shared" si="33"/>
        <v>0</v>
      </c>
      <c r="H152" s="646">
        <f t="shared" si="31"/>
        <v>0</v>
      </c>
      <c r="I152" s="573">
        <f t="shared" si="38"/>
        <v>0</v>
      </c>
      <c r="J152" s="505">
        <f t="shared" si="34"/>
        <v>0</v>
      </c>
      <c r="K152" s="505"/>
      <c r="L152" s="513"/>
      <c r="M152" s="505">
        <f t="shared" si="35"/>
        <v>0</v>
      </c>
      <c r="N152" s="513"/>
      <c r="O152" s="505">
        <f t="shared" si="36"/>
        <v>0</v>
      </c>
      <c r="P152" s="505">
        <f t="shared" si="37"/>
        <v>0</v>
      </c>
      <c r="Q152" s="244"/>
      <c r="R152" s="244"/>
      <c r="S152" s="244"/>
      <c r="T152" s="244"/>
      <c r="U152" s="244"/>
    </row>
    <row r="153" spans="2:21" ht="12.5">
      <c r="B153" s="145" t="str">
        <f t="shared" si="23"/>
        <v/>
      </c>
      <c r="C153" s="496">
        <f>IF(D94="","-",+C152+1)</f>
        <v>2063</v>
      </c>
      <c r="D153" s="350">
        <f>IF(F152+SUM(E$100:E152)=D$93,F152,D$93-SUM(E$100:E152))</f>
        <v>0</v>
      </c>
      <c r="E153" s="510">
        <f>IF(+J97&lt;F152,J97,D153)</f>
        <v>0</v>
      </c>
      <c r="F153" s="511">
        <f t="shared" si="32"/>
        <v>0</v>
      </c>
      <c r="G153" s="511">
        <f t="shared" si="33"/>
        <v>0</v>
      </c>
      <c r="H153" s="646">
        <f t="shared" si="31"/>
        <v>0</v>
      </c>
      <c r="I153" s="573">
        <f t="shared" si="38"/>
        <v>0</v>
      </c>
      <c r="J153" s="505">
        <f t="shared" si="34"/>
        <v>0</v>
      </c>
      <c r="K153" s="505"/>
      <c r="L153" s="513"/>
      <c r="M153" s="505">
        <f t="shared" si="35"/>
        <v>0</v>
      </c>
      <c r="N153" s="513"/>
      <c r="O153" s="505">
        <f t="shared" si="36"/>
        <v>0</v>
      </c>
      <c r="P153" s="505">
        <f t="shared" si="37"/>
        <v>0</v>
      </c>
      <c r="Q153" s="244"/>
      <c r="R153" s="244"/>
      <c r="S153" s="244"/>
      <c r="T153" s="244"/>
      <c r="U153" s="244"/>
    </row>
    <row r="154" spans="2:21" ht="12.5">
      <c r="B154" s="145" t="str">
        <f t="shared" si="23"/>
        <v/>
      </c>
      <c r="C154" s="496">
        <f>IF(D94="","-",+C153+1)</f>
        <v>2064</v>
      </c>
      <c r="D154" s="350">
        <f>IF(F153+SUM(E$100:E153)=D$93,F153,D$93-SUM(E$100:E153))</f>
        <v>0</v>
      </c>
      <c r="E154" s="510">
        <f>IF(+J97&lt;F153,J97,D154)</f>
        <v>0</v>
      </c>
      <c r="F154" s="511">
        <f t="shared" si="32"/>
        <v>0</v>
      </c>
      <c r="G154" s="511">
        <f t="shared" si="33"/>
        <v>0</v>
      </c>
      <c r="H154" s="646">
        <f t="shared" si="31"/>
        <v>0</v>
      </c>
      <c r="I154" s="573">
        <f t="shared" si="38"/>
        <v>0</v>
      </c>
      <c r="J154" s="505">
        <f t="shared" si="34"/>
        <v>0</v>
      </c>
      <c r="K154" s="505"/>
      <c r="L154" s="513"/>
      <c r="M154" s="505">
        <f t="shared" si="35"/>
        <v>0</v>
      </c>
      <c r="N154" s="513"/>
      <c r="O154" s="505">
        <f t="shared" si="36"/>
        <v>0</v>
      </c>
      <c r="P154" s="505">
        <f t="shared" si="37"/>
        <v>0</v>
      </c>
      <c r="Q154" s="244"/>
      <c r="R154" s="244"/>
      <c r="S154" s="244"/>
      <c r="T154" s="244"/>
      <c r="U154" s="244"/>
    </row>
    <row r="155" spans="2:21" ht="13" thickBot="1">
      <c r="B155" s="145" t="str">
        <f t="shared" si="23"/>
        <v/>
      </c>
      <c r="C155" s="525">
        <f>IF(D94="","-",+C154+1)</f>
        <v>2065</v>
      </c>
      <c r="D155" s="528">
        <f>IF(F154+SUM(E$100:E154)=D$93,F154,D$93-SUM(E$100:E154))</f>
        <v>0</v>
      </c>
      <c r="E155" s="527">
        <f>IF(+J97&lt;F154,J97,D155)</f>
        <v>0</v>
      </c>
      <c r="F155" s="528">
        <f t="shared" si="32"/>
        <v>0</v>
      </c>
      <c r="G155" s="528">
        <f t="shared" si="33"/>
        <v>0</v>
      </c>
      <c r="H155" s="529">
        <f t="shared" ref="H155" si="39">+J$95*G155+E155</f>
        <v>0</v>
      </c>
      <c r="I155" s="574">
        <f t="shared" si="38"/>
        <v>0</v>
      </c>
      <c r="J155" s="532">
        <f t="shared" si="34"/>
        <v>0</v>
      </c>
      <c r="K155" s="505"/>
      <c r="L155" s="531"/>
      <c r="M155" s="532">
        <f t="shared" si="35"/>
        <v>0</v>
      </c>
      <c r="N155" s="531"/>
      <c r="O155" s="532">
        <f t="shared" si="36"/>
        <v>0</v>
      </c>
      <c r="P155" s="532">
        <f t="shared" si="37"/>
        <v>0</v>
      </c>
      <c r="Q155" s="244"/>
      <c r="R155" s="244"/>
      <c r="S155" s="244"/>
      <c r="T155" s="244"/>
      <c r="U155" s="244"/>
    </row>
    <row r="156" spans="2:21" ht="12.5">
      <c r="C156" s="350" t="s">
        <v>75</v>
      </c>
      <c r="D156" s="295"/>
      <c r="E156" s="295">
        <f>SUM(E100:E155)</f>
        <v>723818.00000000012</v>
      </c>
      <c r="F156" s="295"/>
      <c r="G156" s="295"/>
      <c r="H156" s="295">
        <f>SUM(H100:H155)</f>
        <v>2158045.1050083474</v>
      </c>
      <c r="I156" s="295">
        <f>SUM(I100:I155)</f>
        <v>2158045.1050083474</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77" t="s">
        <v>129</v>
      </c>
      <c r="Q163" s="244"/>
      <c r="R163" s="244"/>
      <c r="S163" s="244"/>
      <c r="T163" s="244"/>
      <c r="U163" s="244"/>
    </row>
  </sheetData>
  <phoneticPr fontId="0" type="noConversion"/>
  <conditionalFormatting sqref="C17:C29 C34:C73">
    <cfRule type="cellIs" dxfId="51" priority="2" stopIfTrue="1" operator="equal">
      <formula>$I$10</formula>
    </cfRule>
  </conditionalFormatting>
  <conditionalFormatting sqref="C100:C155">
    <cfRule type="cellIs" dxfId="50" priority="3" stopIfTrue="1" operator="equal">
      <formula>$J$93</formula>
    </cfRule>
  </conditionalFormatting>
  <conditionalFormatting sqref="C30:C33">
    <cfRule type="cellIs" dxfId="49"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U163"/>
  <sheetViews>
    <sheetView tabSelected="1" view="pageBreakPreview" topLeftCell="E1" zoomScale="85" zoomScaleNormal="10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2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111686.32809259798</v>
      </c>
      <c r="P5" s="244"/>
      <c r="R5" s="244"/>
      <c r="S5" s="244"/>
      <c r="T5" s="244"/>
      <c r="U5" s="244"/>
    </row>
    <row r="6" spans="1:21" ht="15.5">
      <c r="C6" s="236"/>
      <c r="D6" s="293"/>
      <c r="E6" s="244"/>
      <c r="F6" s="244"/>
      <c r="G6" s="244"/>
      <c r="H6" s="450"/>
      <c r="I6" s="450"/>
      <c r="J6" s="451"/>
      <c r="K6" s="452" t="s">
        <v>243</v>
      </c>
      <c r="L6" s="453"/>
      <c r="M6" s="279"/>
      <c r="N6" s="454">
        <f>VLOOKUP(I10,C17:I73,6)</f>
        <v>111686.32809259798</v>
      </c>
      <c r="O6" s="244"/>
      <c r="P6" s="244"/>
      <c r="R6" s="244"/>
      <c r="S6" s="244"/>
      <c r="T6" s="244"/>
      <c r="U6" s="244"/>
    </row>
    <row r="7" spans="1:21" ht="13.5" thickBot="1">
      <c r="C7" s="455" t="s">
        <v>46</v>
      </c>
      <c r="D7" s="456" t="s">
        <v>192</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197</v>
      </c>
      <c r="E9" s="466"/>
      <c r="F9" s="466"/>
      <c r="G9" s="466"/>
      <c r="H9" s="466"/>
      <c r="I9" s="467"/>
      <c r="J9" s="468"/>
      <c r="O9" s="469"/>
      <c r="P9" s="279"/>
      <c r="R9" s="244"/>
      <c r="S9" s="244"/>
      <c r="T9" s="244"/>
      <c r="U9" s="244"/>
    </row>
    <row r="10" spans="1:21" ht="13">
      <c r="C10" s="470" t="s">
        <v>49</v>
      </c>
      <c r="D10" s="471">
        <v>985777.34</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28993.451176470586</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581">
        <f>IF(D11= "","-",D11)</f>
        <v>2010</v>
      </c>
      <c r="D17" s="497">
        <v>1000000</v>
      </c>
      <c r="E17" s="498">
        <v>8649.6050543178571</v>
      </c>
      <c r="F17" s="497">
        <v>991350.39494568214</v>
      </c>
      <c r="G17" s="499">
        <v>128416.51741983544</v>
      </c>
      <c r="H17" s="500">
        <v>128416.51741983544</v>
      </c>
      <c r="I17" s="501">
        <f t="shared" ref="I17:I49" si="0">H17-G17</f>
        <v>0</v>
      </c>
      <c r="J17" s="501"/>
      <c r="K17" s="502">
        <f t="shared" ref="K17:K22" si="1">G17</f>
        <v>128416.51741983544</v>
      </c>
      <c r="L17" s="503">
        <f t="shared" ref="L17:L49" si="2">IF(K17&lt;&gt;0,+G17-K17,0)</f>
        <v>0</v>
      </c>
      <c r="M17" s="502">
        <f t="shared" ref="M17:M22" si="3">H17</f>
        <v>128416.51741983544</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991350.39494568214</v>
      </c>
      <c r="E18" s="499">
        <v>16985.402437265064</v>
      </c>
      <c r="F18" s="506">
        <v>974364.99250841711</v>
      </c>
      <c r="G18" s="499">
        <v>143658.66281023776</v>
      </c>
      <c r="H18" s="500">
        <v>143658.66281023776</v>
      </c>
      <c r="I18" s="501">
        <f t="shared" si="0"/>
        <v>0</v>
      </c>
      <c r="J18" s="501"/>
      <c r="K18" s="507">
        <f t="shared" si="1"/>
        <v>143658.66281023776</v>
      </c>
      <c r="L18" s="508">
        <f t="shared" si="2"/>
        <v>0</v>
      </c>
      <c r="M18" s="507">
        <f t="shared" si="3"/>
        <v>143658.66281023776</v>
      </c>
      <c r="N18" s="505">
        <f t="shared" si="4"/>
        <v>0</v>
      </c>
      <c r="O18" s="505">
        <f t="shared" si="5"/>
        <v>0</v>
      </c>
      <c r="P18" s="279"/>
      <c r="R18" s="244"/>
      <c r="S18" s="244"/>
      <c r="T18" s="244"/>
      <c r="U18" s="244"/>
    </row>
    <row r="19" spans="2:21" ht="12.5">
      <c r="B19" s="145" t="str">
        <f t="shared" ref="B19:B73" si="6">IF(D19=F18,"","IU")</f>
        <v/>
      </c>
      <c r="C19" s="496">
        <f>IF(D11="","-",+C18+1)</f>
        <v>2012</v>
      </c>
      <c r="D19" s="506">
        <v>974364.99250841711</v>
      </c>
      <c r="E19" s="499">
        <v>17053.169324992024</v>
      </c>
      <c r="F19" s="506">
        <v>957311.82318342512</v>
      </c>
      <c r="G19" s="499">
        <v>109574.51640694846</v>
      </c>
      <c r="H19" s="500">
        <v>109574.51640694846</v>
      </c>
      <c r="I19" s="501">
        <v>0</v>
      </c>
      <c r="J19" s="501"/>
      <c r="K19" s="507">
        <f t="shared" si="1"/>
        <v>109574.51640694846</v>
      </c>
      <c r="L19" s="505">
        <f t="shared" si="2"/>
        <v>0</v>
      </c>
      <c r="M19" s="507">
        <f t="shared" si="3"/>
        <v>109574.51640694846</v>
      </c>
      <c r="N19" s="505">
        <f t="shared" si="4"/>
        <v>0</v>
      </c>
      <c r="O19" s="505">
        <f t="shared" si="5"/>
        <v>0</v>
      </c>
      <c r="P19" s="279"/>
      <c r="R19" s="244"/>
      <c r="S19" s="244"/>
      <c r="T19" s="244"/>
      <c r="U19" s="244"/>
    </row>
    <row r="20" spans="2:21" ht="12.5">
      <c r="B20" s="145" t="str">
        <f t="shared" si="6"/>
        <v>IU</v>
      </c>
      <c r="C20" s="496">
        <f>IF(D11="","-",+C19+1)</f>
        <v>2013</v>
      </c>
      <c r="D20" s="506">
        <v>943089.16318342497</v>
      </c>
      <c r="E20" s="499">
        <v>17053.169324992024</v>
      </c>
      <c r="F20" s="506">
        <v>926035.99385843298</v>
      </c>
      <c r="G20" s="499">
        <v>118214.46332464613</v>
      </c>
      <c r="H20" s="500">
        <v>118214.46332464613</v>
      </c>
      <c r="I20" s="501">
        <v>0</v>
      </c>
      <c r="J20" s="501"/>
      <c r="K20" s="507">
        <f t="shared" si="1"/>
        <v>118214.46332464613</v>
      </c>
      <c r="L20" s="505">
        <f t="shared" ref="L20:L25" si="7">IF(K20&lt;&gt;0,+G20-K20,0)</f>
        <v>0</v>
      </c>
      <c r="M20" s="507">
        <f t="shared" si="3"/>
        <v>118214.46332464613</v>
      </c>
      <c r="N20" s="505">
        <f>IF(M20&lt;&gt;0,+H20-M20,0)</f>
        <v>0</v>
      </c>
      <c r="O20" s="505">
        <f>+N20-L20</f>
        <v>0</v>
      </c>
      <c r="P20" s="279"/>
      <c r="R20" s="244"/>
      <c r="S20" s="244"/>
      <c r="T20" s="244"/>
      <c r="U20" s="244"/>
    </row>
    <row r="21" spans="2:21" ht="12.5">
      <c r="B21" s="145" t="str">
        <f t="shared" si="6"/>
        <v/>
      </c>
      <c r="C21" s="496">
        <f>IF(D12="","-",+C20+1)</f>
        <v>2014</v>
      </c>
      <c r="D21" s="506">
        <v>926035.99385843298</v>
      </c>
      <c r="E21" s="499">
        <v>17053.169324992024</v>
      </c>
      <c r="F21" s="506">
        <v>908982.82453344099</v>
      </c>
      <c r="G21" s="499">
        <v>117066.12014630614</v>
      </c>
      <c r="H21" s="500">
        <v>117066.12014630614</v>
      </c>
      <c r="I21" s="501">
        <v>0</v>
      </c>
      <c r="J21" s="501"/>
      <c r="K21" s="507">
        <f t="shared" si="1"/>
        <v>117066.12014630614</v>
      </c>
      <c r="L21" s="505">
        <f t="shared" si="7"/>
        <v>0</v>
      </c>
      <c r="M21" s="507">
        <f t="shared" si="3"/>
        <v>117066.12014630614</v>
      </c>
      <c r="N21" s="505">
        <f>IF(M21&lt;&gt;0,+H21-M21,0)</f>
        <v>0</v>
      </c>
      <c r="O21" s="505">
        <f>+N21-L21</f>
        <v>0</v>
      </c>
      <c r="P21" s="279"/>
      <c r="R21" s="244"/>
      <c r="S21" s="244"/>
      <c r="T21" s="244"/>
      <c r="U21" s="244"/>
    </row>
    <row r="22" spans="2:21" ht="12.5">
      <c r="B22" s="145" t="str">
        <f t="shared" si="6"/>
        <v/>
      </c>
      <c r="C22" s="496">
        <f>IF(D11="","-",+C21+1)</f>
        <v>2015</v>
      </c>
      <c r="D22" s="506">
        <v>908982.82453344099</v>
      </c>
      <c r="E22" s="499">
        <v>17053.169324992024</v>
      </c>
      <c r="F22" s="506">
        <v>891929.655208449</v>
      </c>
      <c r="G22" s="499">
        <v>108980.29004264352</v>
      </c>
      <c r="H22" s="500">
        <v>108980.29004264352</v>
      </c>
      <c r="I22" s="501">
        <v>0</v>
      </c>
      <c r="J22" s="501"/>
      <c r="K22" s="507">
        <f t="shared" si="1"/>
        <v>108980.29004264352</v>
      </c>
      <c r="L22" s="505">
        <f t="shared" si="7"/>
        <v>0</v>
      </c>
      <c r="M22" s="507">
        <f t="shared" si="3"/>
        <v>108980.29004264352</v>
      </c>
      <c r="N22" s="505">
        <f>IF(M22&lt;&gt;0,+H22-M22,0)</f>
        <v>0</v>
      </c>
      <c r="O22" s="505">
        <f>+N22-L22</f>
        <v>0</v>
      </c>
      <c r="P22" s="279"/>
      <c r="R22" s="244"/>
      <c r="S22" s="244"/>
      <c r="T22" s="244"/>
      <c r="U22" s="244"/>
    </row>
    <row r="23" spans="2:21" ht="12.5">
      <c r="B23" s="145" t="str">
        <f t="shared" si="6"/>
        <v/>
      </c>
      <c r="C23" s="496">
        <f>IF(D11="","-",+C22+1)</f>
        <v>2016</v>
      </c>
      <c r="D23" s="506">
        <v>891929.655208449</v>
      </c>
      <c r="E23" s="499">
        <v>20483.915040786436</v>
      </c>
      <c r="F23" s="506">
        <v>871445.7401676625</v>
      </c>
      <c r="G23" s="499">
        <v>114495.80398935861</v>
      </c>
      <c r="H23" s="500">
        <v>114495.80398935861</v>
      </c>
      <c r="I23" s="501">
        <f t="shared" si="0"/>
        <v>0</v>
      </c>
      <c r="J23" s="501"/>
      <c r="K23" s="507">
        <f>G23</f>
        <v>114495.80398935861</v>
      </c>
      <c r="L23" s="505">
        <f t="shared" si="7"/>
        <v>0</v>
      </c>
      <c r="M23" s="507">
        <f>H23</f>
        <v>114495.80398935861</v>
      </c>
      <c r="N23" s="505">
        <f t="shared" si="4"/>
        <v>0</v>
      </c>
      <c r="O23" s="505">
        <f t="shared" si="5"/>
        <v>0</v>
      </c>
      <c r="P23" s="279"/>
      <c r="R23" s="244"/>
      <c r="S23" s="244"/>
      <c r="T23" s="244"/>
      <c r="U23" s="244"/>
    </row>
    <row r="24" spans="2:21" ht="12.5">
      <c r="B24" s="145" t="str">
        <f t="shared" si="6"/>
        <v/>
      </c>
      <c r="C24" s="496">
        <f>IF(D11="","-",+C23+1)</f>
        <v>2017</v>
      </c>
      <c r="D24" s="506">
        <v>871445.7401676625</v>
      </c>
      <c r="E24" s="499">
        <v>19382.334130313378</v>
      </c>
      <c r="F24" s="506">
        <v>852063.40603734914</v>
      </c>
      <c r="G24" s="499">
        <v>114123.60807449113</v>
      </c>
      <c r="H24" s="500">
        <v>114123.60807449113</v>
      </c>
      <c r="I24" s="501">
        <f t="shared" si="0"/>
        <v>0</v>
      </c>
      <c r="J24" s="501"/>
      <c r="K24" s="507">
        <f>G24</f>
        <v>114123.60807449113</v>
      </c>
      <c r="L24" s="505">
        <f t="shared" si="7"/>
        <v>0</v>
      </c>
      <c r="M24" s="507">
        <f>H24</f>
        <v>114123.60807449113</v>
      </c>
      <c r="N24" s="505">
        <f>IF(M24&lt;&gt;0,+H24-M24,0)</f>
        <v>0</v>
      </c>
      <c r="O24" s="505">
        <f>+N24-L24</f>
        <v>0</v>
      </c>
      <c r="P24" s="279"/>
      <c r="R24" s="244"/>
      <c r="S24" s="244"/>
      <c r="T24" s="244"/>
      <c r="U24" s="244"/>
    </row>
    <row r="25" spans="2:21" ht="12.5">
      <c r="B25" s="145" t="str">
        <f t="shared" si="6"/>
        <v/>
      </c>
      <c r="C25" s="496">
        <f>IF(D11="","-",+C24+1)</f>
        <v>2018</v>
      </c>
      <c r="D25" s="506">
        <v>852063.40603734914</v>
      </c>
      <c r="E25" s="499">
        <v>24175.777145778226</v>
      </c>
      <c r="F25" s="506">
        <v>827887.62889157096</v>
      </c>
      <c r="G25" s="499">
        <v>122865.36332508046</v>
      </c>
      <c r="H25" s="500">
        <v>122865.36332508046</v>
      </c>
      <c r="I25" s="501">
        <f t="shared" si="0"/>
        <v>0</v>
      </c>
      <c r="J25" s="501"/>
      <c r="K25" s="507">
        <f>G25</f>
        <v>122865.36332508046</v>
      </c>
      <c r="L25" s="505">
        <f t="shared" si="7"/>
        <v>0</v>
      </c>
      <c r="M25" s="507">
        <f>H25</f>
        <v>122865.36332508046</v>
      </c>
      <c r="N25" s="505">
        <f>IF(M25&lt;&gt;0,+H25-M25,0)</f>
        <v>0</v>
      </c>
      <c r="O25" s="505">
        <f>+N25-L25</f>
        <v>0</v>
      </c>
      <c r="P25" s="279"/>
      <c r="R25" s="244"/>
      <c r="S25" s="244"/>
      <c r="T25" s="244"/>
      <c r="U25" s="244"/>
    </row>
    <row r="26" spans="2:21" ht="12.5">
      <c r="B26" s="145" t="str">
        <f t="shared" si="6"/>
        <v/>
      </c>
      <c r="C26" s="496">
        <f>IF(D11="","-",+C25+1)</f>
        <v>2019</v>
      </c>
      <c r="D26" s="506">
        <v>827887.62889157096</v>
      </c>
      <c r="E26" s="499">
        <v>24175.777145778226</v>
      </c>
      <c r="F26" s="506">
        <v>803711.85174579278</v>
      </c>
      <c r="G26" s="499">
        <v>120024.92644034608</v>
      </c>
      <c r="H26" s="500">
        <v>120024.92644034608</v>
      </c>
      <c r="I26" s="501">
        <f t="shared" si="0"/>
        <v>0</v>
      </c>
      <c r="J26" s="501"/>
      <c r="K26" s="507">
        <f>G26</f>
        <v>120024.92644034608</v>
      </c>
      <c r="L26" s="505">
        <f t="shared" ref="L26" si="8">IF(K26&lt;&gt;0,+G26-K26,0)</f>
        <v>0</v>
      </c>
      <c r="M26" s="507">
        <f>H26</f>
        <v>120024.92644034608</v>
      </c>
      <c r="N26" s="505">
        <f>IF(M26&lt;&gt;0,+H26-M26,0)</f>
        <v>0</v>
      </c>
      <c r="O26" s="505">
        <f>+N26-L26</f>
        <v>0</v>
      </c>
      <c r="P26" s="279"/>
      <c r="R26" s="244"/>
      <c r="S26" s="244"/>
      <c r="T26" s="244"/>
      <c r="U26" s="244"/>
    </row>
    <row r="27" spans="2:21" ht="12.5">
      <c r="B27" s="145" t="str">
        <f t="shared" si="6"/>
        <v/>
      </c>
      <c r="C27" s="496">
        <f>IF(D11="","-",+C26+1)</f>
        <v>2020</v>
      </c>
      <c r="D27" s="506">
        <v>803711.85174579278</v>
      </c>
      <c r="E27" s="499">
        <v>28865.315662076879</v>
      </c>
      <c r="F27" s="506">
        <v>774846.53608371585</v>
      </c>
      <c r="G27" s="499">
        <v>111686.32809259798</v>
      </c>
      <c r="H27" s="500">
        <v>111686.32809259798</v>
      </c>
      <c r="I27" s="501">
        <f t="shared" si="0"/>
        <v>0</v>
      </c>
      <c r="J27" s="501"/>
      <c r="K27" s="507">
        <f>G27</f>
        <v>111686.32809259798</v>
      </c>
      <c r="L27" s="505">
        <f t="shared" ref="L27" si="9">IF(K27&lt;&gt;0,+G27-K27,0)</f>
        <v>0</v>
      </c>
      <c r="M27" s="507">
        <f>H27</f>
        <v>111686.32809259798</v>
      </c>
      <c r="N27" s="505">
        <f t="shared" si="4"/>
        <v>0</v>
      </c>
      <c r="O27" s="505">
        <f t="shared" si="5"/>
        <v>0</v>
      </c>
      <c r="P27" s="279"/>
      <c r="R27" s="244"/>
      <c r="S27" s="244"/>
      <c r="T27" s="244"/>
      <c r="U27" s="244"/>
    </row>
    <row r="28" spans="2:21" ht="12.5">
      <c r="B28" s="145" t="str">
        <f t="shared" si="6"/>
        <v/>
      </c>
      <c r="C28" s="496">
        <f>IF(D11="","-",+C27+1)</f>
        <v>2021</v>
      </c>
      <c r="D28" s="509">
        <f>IF(F27+SUM(E$17:E27)=D$10,F27,D$10-SUM(E$17:E27))</f>
        <v>774846.53608371585</v>
      </c>
      <c r="E28" s="510">
        <f>IF(+I14&lt;F27,I14,D28)</f>
        <v>28993.451176470586</v>
      </c>
      <c r="F28" s="511">
        <f t="shared" ref="F28:F49" si="10">+D28-E28</f>
        <v>745853.08490724524</v>
      </c>
      <c r="G28" s="512">
        <f t="shared" ref="G28:G73" si="11">(D28+F28)/2*I$12+E28</f>
        <v>109907.71006897546</v>
      </c>
      <c r="H28" s="478">
        <f t="shared" ref="H28:H73" si="12">+(D28+F28)/2*I$13+E28</f>
        <v>109907.71006897546</v>
      </c>
      <c r="I28" s="501">
        <f t="shared" si="0"/>
        <v>0</v>
      </c>
      <c r="J28" s="501"/>
      <c r="K28" s="513"/>
      <c r="L28" s="505">
        <f t="shared" si="2"/>
        <v>0</v>
      </c>
      <c r="M28" s="513"/>
      <c r="N28" s="505">
        <f t="shared" si="4"/>
        <v>0</v>
      </c>
      <c r="O28" s="505">
        <f t="shared" si="5"/>
        <v>0</v>
      </c>
      <c r="P28" s="279"/>
      <c r="R28" s="244"/>
      <c r="S28" s="244"/>
      <c r="T28" s="244"/>
      <c r="U28" s="244"/>
    </row>
    <row r="29" spans="2:21" ht="12.5">
      <c r="B29" s="145" t="str">
        <f t="shared" si="6"/>
        <v/>
      </c>
      <c r="C29" s="496">
        <f>IF(D11="","-",+C28+1)</f>
        <v>2022</v>
      </c>
      <c r="D29" s="509">
        <f>IF(F28+SUM(E$17:E28)=D$10,F28,D$10-SUM(E$17:E28))</f>
        <v>745853.08490724524</v>
      </c>
      <c r="E29" s="510">
        <f>IF(+I14&lt;F28,I14,D29)</f>
        <v>28993.451176470586</v>
      </c>
      <c r="F29" s="511">
        <f t="shared" si="10"/>
        <v>716859.63373077463</v>
      </c>
      <c r="G29" s="512">
        <f t="shared" si="11"/>
        <v>106822.30966208724</v>
      </c>
      <c r="H29" s="478">
        <f t="shared" si="12"/>
        <v>106822.30966208724</v>
      </c>
      <c r="I29" s="501">
        <f t="shared" si="0"/>
        <v>0</v>
      </c>
      <c r="J29" s="501"/>
      <c r="K29" s="513"/>
      <c r="L29" s="505">
        <f t="shared" si="2"/>
        <v>0</v>
      </c>
      <c r="M29" s="513"/>
      <c r="N29" s="505">
        <f t="shared" si="4"/>
        <v>0</v>
      </c>
      <c r="O29" s="505">
        <f t="shared" si="5"/>
        <v>0</v>
      </c>
      <c r="P29" s="279"/>
      <c r="R29" s="244"/>
      <c r="S29" s="244"/>
      <c r="T29" s="244"/>
      <c r="U29" s="244"/>
    </row>
    <row r="30" spans="2:21" ht="12.5">
      <c r="B30" s="145" t="str">
        <f t="shared" si="6"/>
        <v/>
      </c>
      <c r="C30" s="496">
        <f>IF(D11="","-",+C29+1)</f>
        <v>2023</v>
      </c>
      <c r="D30" s="509">
        <f>IF(F29+SUM(E$17:E29)=D$10,F29,D$10-SUM(E$17:E29))</f>
        <v>716859.63373077463</v>
      </c>
      <c r="E30" s="510">
        <f>IF(+I14&lt;F29,I14,D30)</f>
        <v>28993.451176470586</v>
      </c>
      <c r="F30" s="511">
        <f t="shared" si="10"/>
        <v>687866.18255430402</v>
      </c>
      <c r="G30" s="512">
        <f t="shared" si="11"/>
        <v>103736.909255199</v>
      </c>
      <c r="H30" s="478">
        <f t="shared" si="12"/>
        <v>103736.909255199</v>
      </c>
      <c r="I30" s="501">
        <f t="shared" si="0"/>
        <v>0</v>
      </c>
      <c r="J30" s="501"/>
      <c r="K30" s="513"/>
      <c r="L30" s="505">
        <f t="shared" si="2"/>
        <v>0</v>
      </c>
      <c r="M30" s="513"/>
      <c r="N30" s="505">
        <f t="shared" si="4"/>
        <v>0</v>
      </c>
      <c r="O30" s="505">
        <f t="shared" si="5"/>
        <v>0</v>
      </c>
      <c r="P30" s="279"/>
      <c r="R30" s="244"/>
      <c r="S30" s="244"/>
      <c r="T30" s="244"/>
      <c r="U30" s="244"/>
    </row>
    <row r="31" spans="2:21" ht="12.5">
      <c r="B31" s="145" t="str">
        <f t="shared" si="6"/>
        <v/>
      </c>
      <c r="C31" s="496">
        <f>IF(D11="","-",+C30+1)</f>
        <v>2024</v>
      </c>
      <c r="D31" s="509">
        <f>IF(F30+SUM(E$17:E30)=D$10,F30,D$10-SUM(E$17:E30))</f>
        <v>687866.18255430402</v>
      </c>
      <c r="E31" s="510">
        <f>IF(+I14&lt;F30,I14,D31)</f>
        <v>28993.451176470586</v>
      </c>
      <c r="F31" s="511">
        <f t="shared" si="10"/>
        <v>658872.73137783341</v>
      </c>
      <c r="G31" s="512">
        <f t="shared" si="11"/>
        <v>100651.50884831078</v>
      </c>
      <c r="H31" s="478">
        <f t="shared" si="12"/>
        <v>100651.50884831078</v>
      </c>
      <c r="I31" s="501">
        <f t="shared" si="0"/>
        <v>0</v>
      </c>
      <c r="J31" s="501"/>
      <c r="K31" s="513"/>
      <c r="L31" s="505">
        <f t="shared" si="2"/>
        <v>0</v>
      </c>
      <c r="M31" s="513"/>
      <c r="N31" s="505">
        <f t="shared" si="4"/>
        <v>0</v>
      </c>
      <c r="O31" s="505">
        <f t="shared" si="5"/>
        <v>0</v>
      </c>
      <c r="P31" s="279"/>
      <c r="Q31" s="221"/>
      <c r="R31" s="279"/>
      <c r="S31" s="279"/>
      <c r="T31" s="279"/>
      <c r="U31" s="244"/>
    </row>
    <row r="32" spans="2:21" ht="12.5">
      <c r="B32" s="145" t="str">
        <f t="shared" si="6"/>
        <v/>
      </c>
      <c r="C32" s="496">
        <f>IF(D12="","-",+C31+1)</f>
        <v>2025</v>
      </c>
      <c r="D32" s="509">
        <f>IF(F31+SUM(E$17:E31)=D$10,F31,D$10-SUM(E$17:E31))</f>
        <v>658872.73137783341</v>
      </c>
      <c r="E32" s="510">
        <f>IF(+I14&lt;F31,I14,D32)</f>
        <v>28993.451176470586</v>
      </c>
      <c r="F32" s="511">
        <f>+D32-E32</f>
        <v>629879.2802013628</v>
      </c>
      <c r="G32" s="512">
        <f t="shared" si="11"/>
        <v>97566.108441422548</v>
      </c>
      <c r="H32" s="478">
        <f t="shared" si="12"/>
        <v>97566.108441422548</v>
      </c>
      <c r="I32" s="501">
        <f>H32-G32</f>
        <v>0</v>
      </c>
      <c r="J32" s="501"/>
      <c r="K32" s="513"/>
      <c r="L32" s="505"/>
      <c r="M32" s="513"/>
      <c r="N32" s="505"/>
      <c r="O32" s="505"/>
      <c r="P32" s="279"/>
      <c r="Q32" s="221"/>
      <c r="R32" s="279"/>
      <c r="S32" s="279"/>
      <c r="T32" s="279"/>
      <c r="U32" s="244"/>
    </row>
    <row r="33" spans="2:21" ht="12.5">
      <c r="B33" s="145" t="str">
        <f t="shared" si="6"/>
        <v/>
      </c>
      <c r="C33" s="496">
        <f>IF(D13="","-",+C32+1)</f>
        <v>2026</v>
      </c>
      <c r="D33" s="509">
        <f>IF(F32+SUM(E$17:E32)=D$10,F32,D$10-SUM(E$17:E32))</f>
        <v>629879.2802013628</v>
      </c>
      <c r="E33" s="510">
        <f>IF(+I14&lt;F31,I14,D33)</f>
        <v>28993.451176470586</v>
      </c>
      <c r="F33" s="511">
        <f t="shared" si="10"/>
        <v>600885.82902489218</v>
      </c>
      <c r="G33" s="512">
        <f t="shared" si="11"/>
        <v>94480.708034534327</v>
      </c>
      <c r="H33" s="478">
        <f t="shared" si="12"/>
        <v>94480.708034534327</v>
      </c>
      <c r="I33" s="501">
        <f t="shared" si="0"/>
        <v>0</v>
      </c>
      <c r="J33" s="501"/>
      <c r="K33" s="513"/>
      <c r="L33" s="505">
        <f t="shared" si="2"/>
        <v>0</v>
      </c>
      <c r="M33" s="513"/>
      <c r="N33" s="505">
        <f t="shared" si="4"/>
        <v>0</v>
      </c>
      <c r="O33" s="505">
        <f t="shared" si="5"/>
        <v>0</v>
      </c>
      <c r="P33" s="279"/>
      <c r="R33" s="244"/>
      <c r="S33" s="244"/>
      <c r="T33" s="244"/>
      <c r="U33" s="244"/>
    </row>
    <row r="34" spans="2:21" ht="12.5">
      <c r="B34" s="145" t="str">
        <f t="shared" si="6"/>
        <v/>
      </c>
      <c r="C34" s="514">
        <f>IF(D11="","-",+C33+1)</f>
        <v>2027</v>
      </c>
      <c r="D34" s="582">
        <f>IF(F33+SUM(E$17:E33)=D$10,F33,D$10-SUM(E$17:E33))</f>
        <v>600885.82902489218</v>
      </c>
      <c r="E34" s="516">
        <f>IF(+I14&lt;F33,I14,D34)</f>
        <v>28993.451176470586</v>
      </c>
      <c r="F34" s="517">
        <f t="shared" si="10"/>
        <v>571892.37784842157</v>
      </c>
      <c r="G34" s="518">
        <f t="shared" si="11"/>
        <v>91395.307627646092</v>
      </c>
      <c r="H34" s="519">
        <f t="shared" si="12"/>
        <v>91395.307627646092</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571892.37784842157</v>
      </c>
      <c r="E35" s="510">
        <f>IF(+I14&lt;F34,I14,D35)</f>
        <v>28993.451176470586</v>
      </c>
      <c r="F35" s="511">
        <f t="shared" si="10"/>
        <v>542898.92667195096</v>
      </c>
      <c r="G35" s="512">
        <f t="shared" si="11"/>
        <v>88309.907220757872</v>
      </c>
      <c r="H35" s="478">
        <f t="shared" si="12"/>
        <v>88309.907220757872</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542898.92667195096</v>
      </c>
      <c r="E36" s="510">
        <f>IF(+I14&lt;F35,I14,D36)</f>
        <v>28993.451176470586</v>
      </c>
      <c r="F36" s="511">
        <f t="shared" si="10"/>
        <v>513905.47549548035</v>
      </c>
      <c r="G36" s="512">
        <f t="shared" si="11"/>
        <v>85224.506813869637</v>
      </c>
      <c r="H36" s="478">
        <f t="shared" si="12"/>
        <v>85224.506813869637</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513905.47549548035</v>
      </c>
      <c r="E37" s="510">
        <f>IF(+I14&lt;F36,I14,D37)</f>
        <v>28993.451176470586</v>
      </c>
      <c r="F37" s="511">
        <f t="shared" si="10"/>
        <v>484912.02431900974</v>
      </c>
      <c r="G37" s="512">
        <f t="shared" si="11"/>
        <v>82139.106406981402</v>
      </c>
      <c r="H37" s="478">
        <f t="shared" si="12"/>
        <v>82139.106406981402</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484912.02431900974</v>
      </c>
      <c r="E38" s="510">
        <f>IF(+I14&lt;F37,I14,D38)</f>
        <v>28993.451176470586</v>
      </c>
      <c r="F38" s="511">
        <f t="shared" si="10"/>
        <v>455918.57314253913</v>
      </c>
      <c r="G38" s="512">
        <f t="shared" si="11"/>
        <v>79053.706000093182</v>
      </c>
      <c r="H38" s="478">
        <f t="shared" si="12"/>
        <v>79053.706000093182</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455918.57314253913</v>
      </c>
      <c r="E39" s="510">
        <f>IF(+I14&lt;F38,I14,D39)</f>
        <v>28993.451176470586</v>
      </c>
      <c r="F39" s="511">
        <f t="shared" si="10"/>
        <v>426925.12196606852</v>
      </c>
      <c r="G39" s="512">
        <f t="shared" si="11"/>
        <v>75968.305593204946</v>
      </c>
      <c r="H39" s="478">
        <f t="shared" si="12"/>
        <v>75968.305593204946</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426925.12196606852</v>
      </c>
      <c r="E40" s="510">
        <f>IF(+I14&lt;F39,I14,D40)</f>
        <v>28993.451176470586</v>
      </c>
      <c r="F40" s="511">
        <f t="shared" si="10"/>
        <v>397931.67078959791</v>
      </c>
      <c r="G40" s="512">
        <f t="shared" si="11"/>
        <v>72882.905186316726</v>
      </c>
      <c r="H40" s="478">
        <f t="shared" si="12"/>
        <v>72882.905186316726</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397931.67078959791</v>
      </c>
      <c r="E41" s="510">
        <f>IF(+I14&lt;F40,I14,D41)</f>
        <v>28993.451176470586</v>
      </c>
      <c r="F41" s="511">
        <f t="shared" si="10"/>
        <v>368938.21961312729</v>
      </c>
      <c r="G41" s="512">
        <f t="shared" si="11"/>
        <v>69797.504779428491</v>
      </c>
      <c r="H41" s="478">
        <f t="shared" si="12"/>
        <v>69797.504779428491</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368938.21961312729</v>
      </c>
      <c r="E42" s="510">
        <f>IF(+I14&lt;F41,I14,D42)</f>
        <v>28993.451176470586</v>
      </c>
      <c r="F42" s="511">
        <f t="shared" si="10"/>
        <v>339944.76843665668</v>
      </c>
      <c r="G42" s="512">
        <f t="shared" si="11"/>
        <v>66712.104372540271</v>
      </c>
      <c r="H42" s="478">
        <f t="shared" si="12"/>
        <v>66712.104372540271</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339944.76843665668</v>
      </c>
      <c r="E43" s="510">
        <f>IF(+I14&lt;F42,I14,D43)</f>
        <v>28993.451176470586</v>
      </c>
      <c r="F43" s="511">
        <f t="shared" si="10"/>
        <v>310951.31726018607</v>
      </c>
      <c r="G43" s="512">
        <f t="shared" si="11"/>
        <v>63626.703965652036</v>
      </c>
      <c r="H43" s="478">
        <f t="shared" si="12"/>
        <v>63626.703965652036</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310951.31726018607</v>
      </c>
      <c r="E44" s="510">
        <f>IF(+I14&lt;F43,I14,D44)</f>
        <v>28993.451176470586</v>
      </c>
      <c r="F44" s="511">
        <f t="shared" si="10"/>
        <v>281957.86608371546</v>
      </c>
      <c r="G44" s="512">
        <f t="shared" si="11"/>
        <v>60541.303558763808</v>
      </c>
      <c r="H44" s="478">
        <f t="shared" si="12"/>
        <v>60541.303558763808</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281957.86608371546</v>
      </c>
      <c r="E45" s="510">
        <f>IF(+I14&lt;F44,I14,D45)</f>
        <v>28993.451176470586</v>
      </c>
      <c r="F45" s="511">
        <f t="shared" si="10"/>
        <v>252964.41490724488</v>
      </c>
      <c r="G45" s="512">
        <f t="shared" si="11"/>
        <v>57455.90315187558</v>
      </c>
      <c r="H45" s="478">
        <f t="shared" si="12"/>
        <v>57455.90315187558</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252964.41490724488</v>
      </c>
      <c r="E46" s="510">
        <f>IF(+I14&lt;F45,I14,D46)</f>
        <v>28993.451176470586</v>
      </c>
      <c r="F46" s="511">
        <f t="shared" si="10"/>
        <v>223970.9637307743</v>
      </c>
      <c r="G46" s="512">
        <f t="shared" si="11"/>
        <v>54370.50274498736</v>
      </c>
      <c r="H46" s="478">
        <f t="shared" si="12"/>
        <v>54370.50274498736</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223970.9637307743</v>
      </c>
      <c r="E47" s="510">
        <f>IF(+I14&lt;F46,I14,D47)</f>
        <v>28993.451176470586</v>
      </c>
      <c r="F47" s="511">
        <f t="shared" si="10"/>
        <v>194977.51255430371</v>
      </c>
      <c r="G47" s="512">
        <f t="shared" si="11"/>
        <v>51285.102338099125</v>
      </c>
      <c r="H47" s="478">
        <f t="shared" si="12"/>
        <v>51285.102338099125</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194977.51255430371</v>
      </c>
      <c r="E48" s="510">
        <f>IF(+I14&lt;F47,I14,D48)</f>
        <v>28993.451176470586</v>
      </c>
      <c r="F48" s="511">
        <f t="shared" si="10"/>
        <v>165984.06137783313</v>
      </c>
      <c r="G48" s="512">
        <f t="shared" si="11"/>
        <v>48199.701931210904</v>
      </c>
      <c r="H48" s="478">
        <f t="shared" si="12"/>
        <v>48199.701931210904</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165984.06137783313</v>
      </c>
      <c r="E49" s="510">
        <f>IF(+I14&lt;F48,I14,D49)</f>
        <v>28993.451176470586</v>
      </c>
      <c r="F49" s="511">
        <f t="shared" si="10"/>
        <v>136990.61020136255</v>
      </c>
      <c r="G49" s="512">
        <f t="shared" si="11"/>
        <v>45114.301524322676</v>
      </c>
      <c r="H49" s="478">
        <f t="shared" si="12"/>
        <v>45114.301524322676</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136990.61020136255</v>
      </c>
      <c r="E50" s="510">
        <f>IF(+I14&lt;F49,I14,D50)</f>
        <v>28993.451176470586</v>
      </c>
      <c r="F50" s="511">
        <f t="shared" ref="F50:F73" si="13">+D50-E50</f>
        <v>107997.15902489197</v>
      </c>
      <c r="G50" s="512">
        <f t="shared" si="11"/>
        <v>42028.901117434449</v>
      </c>
      <c r="H50" s="478">
        <f t="shared" si="12"/>
        <v>42028.901117434449</v>
      </c>
      <c r="I50" s="501">
        <f t="shared" ref="I50:I73" si="14">H50-G50</f>
        <v>0</v>
      </c>
      <c r="J50" s="501"/>
      <c r="K50" s="513"/>
      <c r="L50" s="505">
        <f t="shared" ref="L50:L73" si="15">IF(K50&lt;&gt;0,+G50-K50,0)</f>
        <v>0</v>
      </c>
      <c r="M50" s="513"/>
      <c r="N50" s="505">
        <f t="shared" ref="N50:N73" si="16">IF(M50&lt;&gt;0,+H50-M50,0)</f>
        <v>0</v>
      </c>
      <c r="O50" s="505">
        <f t="shared" ref="O50:O73" si="17">+N50-L50</f>
        <v>0</v>
      </c>
      <c r="P50" s="279"/>
      <c r="R50" s="244"/>
      <c r="S50" s="244"/>
      <c r="T50" s="244"/>
      <c r="U50" s="244"/>
    </row>
    <row r="51" spans="2:21" ht="12.5">
      <c r="B51" s="145" t="str">
        <f t="shared" si="6"/>
        <v/>
      </c>
      <c r="C51" s="496">
        <f>IF(D11="","-",+C50+1)</f>
        <v>2044</v>
      </c>
      <c r="D51" s="509">
        <f>IF(F50+SUM(E$17:E50)=D$10,F50,D$10-SUM(E$17:E50))</f>
        <v>107997.15902489197</v>
      </c>
      <c r="E51" s="510">
        <f>IF(+I14&lt;F50,I14,D51)</f>
        <v>28993.451176470586</v>
      </c>
      <c r="F51" s="511">
        <f t="shared" si="13"/>
        <v>79003.707848421385</v>
      </c>
      <c r="G51" s="512">
        <f t="shared" si="11"/>
        <v>38943.500710546228</v>
      </c>
      <c r="H51" s="478">
        <f t="shared" si="12"/>
        <v>38943.500710546228</v>
      </c>
      <c r="I51" s="501">
        <f t="shared" si="14"/>
        <v>0</v>
      </c>
      <c r="J51" s="501"/>
      <c r="K51" s="513"/>
      <c r="L51" s="505">
        <f t="shared" si="15"/>
        <v>0</v>
      </c>
      <c r="M51" s="513"/>
      <c r="N51" s="505">
        <f t="shared" si="16"/>
        <v>0</v>
      </c>
      <c r="O51" s="505">
        <f t="shared" si="17"/>
        <v>0</v>
      </c>
      <c r="P51" s="279"/>
      <c r="R51" s="244"/>
      <c r="S51" s="244"/>
      <c r="T51" s="244"/>
      <c r="U51" s="244"/>
    </row>
    <row r="52" spans="2:21" ht="12.5">
      <c r="B52" s="145" t="str">
        <f t="shared" si="6"/>
        <v/>
      </c>
      <c r="C52" s="496">
        <f>IF(D11="","-",+C51+1)</f>
        <v>2045</v>
      </c>
      <c r="D52" s="509">
        <f>IF(F51+SUM(E$17:E51)=D$10,F51,D$10-SUM(E$17:E51))</f>
        <v>79003.707848421385</v>
      </c>
      <c r="E52" s="510">
        <f>IF(+I14&lt;F51,I14,D52)</f>
        <v>28993.451176470586</v>
      </c>
      <c r="F52" s="511">
        <f t="shared" si="13"/>
        <v>50010.256671950803</v>
      </c>
      <c r="G52" s="512">
        <f t="shared" si="11"/>
        <v>35858.100303658</v>
      </c>
      <c r="H52" s="478">
        <f t="shared" si="12"/>
        <v>35858.100303658</v>
      </c>
      <c r="I52" s="501">
        <f t="shared" si="14"/>
        <v>0</v>
      </c>
      <c r="J52" s="501"/>
      <c r="K52" s="513"/>
      <c r="L52" s="505">
        <f t="shared" si="15"/>
        <v>0</v>
      </c>
      <c r="M52" s="513"/>
      <c r="N52" s="505">
        <f t="shared" si="16"/>
        <v>0</v>
      </c>
      <c r="O52" s="505">
        <f t="shared" si="17"/>
        <v>0</v>
      </c>
      <c r="P52" s="279"/>
      <c r="R52" s="244"/>
      <c r="S52" s="244"/>
      <c r="T52" s="244"/>
      <c r="U52" s="244"/>
    </row>
    <row r="53" spans="2:21" ht="12.5">
      <c r="B53" s="145" t="str">
        <f t="shared" si="6"/>
        <v/>
      </c>
      <c r="C53" s="496">
        <f>IF(D11="","-",+C52+1)</f>
        <v>2046</v>
      </c>
      <c r="D53" s="509">
        <f>IF(F52+SUM(E$17:E52)=D$10,F52,D$10-SUM(E$17:E52))</f>
        <v>50010.256671950803</v>
      </c>
      <c r="E53" s="510">
        <f>IF(+I14&lt;F52,I14,D53)</f>
        <v>28993.451176470586</v>
      </c>
      <c r="F53" s="511">
        <f t="shared" si="13"/>
        <v>21016.805495480217</v>
      </c>
      <c r="G53" s="512">
        <f t="shared" si="11"/>
        <v>32772.699896769773</v>
      </c>
      <c r="H53" s="478">
        <f t="shared" si="12"/>
        <v>32772.699896769773</v>
      </c>
      <c r="I53" s="501">
        <f t="shared" si="14"/>
        <v>0</v>
      </c>
      <c r="J53" s="501"/>
      <c r="K53" s="513"/>
      <c r="L53" s="505">
        <f t="shared" si="15"/>
        <v>0</v>
      </c>
      <c r="M53" s="513"/>
      <c r="N53" s="505">
        <f t="shared" si="16"/>
        <v>0</v>
      </c>
      <c r="O53" s="505">
        <f t="shared" si="17"/>
        <v>0</v>
      </c>
      <c r="P53" s="279"/>
      <c r="R53" s="244"/>
      <c r="S53" s="244"/>
      <c r="T53" s="244"/>
      <c r="U53" s="244"/>
    </row>
    <row r="54" spans="2:21" ht="12.5">
      <c r="B54" s="145" t="str">
        <f t="shared" si="6"/>
        <v/>
      </c>
      <c r="C54" s="496">
        <f>IF(D11="","-",+C53+1)</f>
        <v>2047</v>
      </c>
      <c r="D54" s="509">
        <f>IF(F53+SUM(E$17:E53)=D$10,F53,D$10-SUM(E$17:E53))</f>
        <v>21016.805495480217</v>
      </c>
      <c r="E54" s="510">
        <f>IF(+I14&lt;F53,I14,D54)</f>
        <v>21016.805495480217</v>
      </c>
      <c r="F54" s="511">
        <f t="shared" si="13"/>
        <v>0</v>
      </c>
      <c r="G54" s="512">
        <f t="shared" si="11"/>
        <v>22135.079753907754</v>
      </c>
      <c r="H54" s="478">
        <f t="shared" si="12"/>
        <v>22135.079753907754</v>
      </c>
      <c r="I54" s="501">
        <f t="shared" si="14"/>
        <v>0</v>
      </c>
      <c r="J54" s="501"/>
      <c r="K54" s="513"/>
      <c r="L54" s="505">
        <f t="shared" si="15"/>
        <v>0</v>
      </c>
      <c r="M54" s="513"/>
      <c r="N54" s="505">
        <f t="shared" si="16"/>
        <v>0</v>
      </c>
      <c r="O54" s="505">
        <f t="shared" si="17"/>
        <v>0</v>
      </c>
      <c r="P54" s="279"/>
      <c r="R54" s="244"/>
      <c r="S54" s="244"/>
      <c r="T54" s="244"/>
      <c r="U54" s="244"/>
    </row>
    <row r="55" spans="2:21" ht="12.5">
      <c r="B55" s="145" t="str">
        <f t="shared" si="6"/>
        <v/>
      </c>
      <c r="C55" s="496">
        <f>IF(D11="","-",+C54+1)</f>
        <v>2048</v>
      </c>
      <c r="D55" s="509">
        <f>IF(F54+SUM(E$17:E54)=D$10,F54,D$10-SUM(E$17:E54))</f>
        <v>0</v>
      </c>
      <c r="E55" s="510">
        <f>IF(+I14&lt;F54,I14,D55)</f>
        <v>0</v>
      </c>
      <c r="F55" s="511">
        <f t="shared" si="13"/>
        <v>0</v>
      </c>
      <c r="G55" s="512">
        <f t="shared" si="11"/>
        <v>0</v>
      </c>
      <c r="H55" s="478">
        <f t="shared" si="12"/>
        <v>0</v>
      </c>
      <c r="I55" s="501">
        <f t="shared" si="14"/>
        <v>0</v>
      </c>
      <c r="J55" s="501"/>
      <c r="K55" s="513"/>
      <c r="L55" s="505">
        <f t="shared" si="15"/>
        <v>0</v>
      </c>
      <c r="M55" s="513"/>
      <c r="N55" s="505">
        <f t="shared" si="16"/>
        <v>0</v>
      </c>
      <c r="O55" s="505">
        <f t="shared" si="17"/>
        <v>0</v>
      </c>
      <c r="P55" s="279"/>
      <c r="R55" s="244"/>
      <c r="S55" s="244"/>
      <c r="T55" s="244"/>
      <c r="U55" s="244"/>
    </row>
    <row r="56" spans="2:21" ht="12.5">
      <c r="B56" s="145" t="str">
        <f t="shared" si="6"/>
        <v/>
      </c>
      <c r="C56" s="496">
        <f>IF(D11="","-",+C55+1)</f>
        <v>2049</v>
      </c>
      <c r="D56" s="509">
        <f>IF(F55+SUM(E$17:E55)=D$10,F55,D$10-SUM(E$17:E55))</f>
        <v>0</v>
      </c>
      <c r="E56" s="510">
        <f>IF(+I14&lt;F55,I14,D56)</f>
        <v>0</v>
      </c>
      <c r="F56" s="511">
        <f t="shared" si="13"/>
        <v>0</v>
      </c>
      <c r="G56" s="512">
        <f t="shared" si="11"/>
        <v>0</v>
      </c>
      <c r="H56" s="478">
        <f t="shared" si="12"/>
        <v>0</v>
      </c>
      <c r="I56" s="501">
        <f t="shared" si="14"/>
        <v>0</v>
      </c>
      <c r="J56" s="501"/>
      <c r="K56" s="513"/>
      <c r="L56" s="505">
        <f t="shared" si="15"/>
        <v>0</v>
      </c>
      <c r="M56" s="513"/>
      <c r="N56" s="505">
        <f t="shared" si="16"/>
        <v>0</v>
      </c>
      <c r="O56" s="505">
        <f t="shared" si="17"/>
        <v>0</v>
      </c>
      <c r="P56" s="279"/>
      <c r="R56" s="244"/>
      <c r="S56" s="244"/>
      <c r="T56" s="244"/>
      <c r="U56" s="244"/>
    </row>
    <row r="57" spans="2:21" ht="12.5">
      <c r="B57" s="145" t="str">
        <f t="shared" si="6"/>
        <v/>
      </c>
      <c r="C57" s="496">
        <f>IF(D11="","-",+C56+1)</f>
        <v>2050</v>
      </c>
      <c r="D57" s="509">
        <f>IF(F56+SUM(E$17:E56)=D$10,F56,D$10-SUM(E$17:E56))</f>
        <v>0</v>
      </c>
      <c r="E57" s="510">
        <f>IF(+I14&lt;F56,I14,D57)</f>
        <v>0</v>
      </c>
      <c r="F57" s="511">
        <f t="shared" si="13"/>
        <v>0</v>
      </c>
      <c r="G57" s="512">
        <f t="shared" si="11"/>
        <v>0</v>
      </c>
      <c r="H57" s="478">
        <f t="shared" si="12"/>
        <v>0</v>
      </c>
      <c r="I57" s="501">
        <f t="shared" si="14"/>
        <v>0</v>
      </c>
      <c r="J57" s="501"/>
      <c r="K57" s="513"/>
      <c r="L57" s="505">
        <f t="shared" si="15"/>
        <v>0</v>
      </c>
      <c r="M57" s="513"/>
      <c r="N57" s="505">
        <f t="shared" si="16"/>
        <v>0</v>
      </c>
      <c r="O57" s="505">
        <f t="shared" si="17"/>
        <v>0</v>
      </c>
      <c r="P57" s="279"/>
      <c r="R57" s="244"/>
      <c r="S57" s="244"/>
      <c r="T57" s="244"/>
      <c r="U57" s="244"/>
    </row>
    <row r="58" spans="2:21" ht="12.5">
      <c r="B58" s="145" t="str">
        <f t="shared" si="6"/>
        <v/>
      </c>
      <c r="C58" s="496">
        <f>IF(D11="","-",+C57+1)</f>
        <v>2051</v>
      </c>
      <c r="D58" s="509">
        <f>IF(F57+SUM(E$17:E57)=D$10,F57,D$10-SUM(E$17:E57))</f>
        <v>0</v>
      </c>
      <c r="E58" s="510">
        <f>IF(+I14&lt;F57,I14,D58)</f>
        <v>0</v>
      </c>
      <c r="F58" s="511">
        <f t="shared" si="13"/>
        <v>0</v>
      </c>
      <c r="G58" s="512">
        <f t="shared" si="11"/>
        <v>0</v>
      </c>
      <c r="H58" s="478">
        <f t="shared" si="12"/>
        <v>0</v>
      </c>
      <c r="I58" s="501">
        <f t="shared" si="14"/>
        <v>0</v>
      </c>
      <c r="J58" s="501"/>
      <c r="K58" s="513"/>
      <c r="L58" s="505">
        <f t="shared" si="15"/>
        <v>0</v>
      </c>
      <c r="M58" s="513"/>
      <c r="N58" s="505">
        <f t="shared" si="16"/>
        <v>0</v>
      </c>
      <c r="O58" s="505">
        <f t="shared" si="17"/>
        <v>0</v>
      </c>
      <c r="P58" s="279"/>
      <c r="R58" s="244"/>
      <c r="S58" s="244"/>
      <c r="T58" s="244"/>
      <c r="U58" s="244"/>
    </row>
    <row r="59" spans="2:21" ht="12.5">
      <c r="B59" s="145" t="str">
        <f t="shared" si="6"/>
        <v/>
      </c>
      <c r="C59" s="496">
        <f>IF(D11="","-",+C58+1)</f>
        <v>2052</v>
      </c>
      <c r="D59" s="509">
        <f>IF(F58+SUM(E$17:E58)=D$10,F58,D$10-SUM(E$17:E58))</f>
        <v>0</v>
      </c>
      <c r="E59" s="510">
        <f>IF(+I14&lt;F58,I14,D59)</f>
        <v>0</v>
      </c>
      <c r="F59" s="511">
        <f t="shared" si="13"/>
        <v>0</v>
      </c>
      <c r="G59" s="512">
        <f t="shared" si="11"/>
        <v>0</v>
      </c>
      <c r="H59" s="478">
        <f t="shared" si="12"/>
        <v>0</v>
      </c>
      <c r="I59" s="501">
        <f t="shared" si="14"/>
        <v>0</v>
      </c>
      <c r="J59" s="501"/>
      <c r="K59" s="513"/>
      <c r="L59" s="505">
        <f t="shared" si="15"/>
        <v>0</v>
      </c>
      <c r="M59" s="513"/>
      <c r="N59" s="505">
        <f t="shared" si="16"/>
        <v>0</v>
      </c>
      <c r="O59" s="505">
        <f t="shared" si="17"/>
        <v>0</v>
      </c>
      <c r="P59" s="279"/>
      <c r="R59" s="244"/>
      <c r="S59" s="244"/>
      <c r="T59" s="244"/>
      <c r="U59" s="244"/>
    </row>
    <row r="60" spans="2:21" ht="12.5">
      <c r="B60" s="145" t="str">
        <f t="shared" si="6"/>
        <v/>
      </c>
      <c r="C60" s="496">
        <f>IF(D11="","-",+C59+1)</f>
        <v>2053</v>
      </c>
      <c r="D60" s="509">
        <f>IF(F59+SUM(E$17:E59)=D$10,F59,D$10-SUM(E$17:E59))</f>
        <v>0</v>
      </c>
      <c r="E60" s="510">
        <f>IF(+I14&lt;F59,I14,D60)</f>
        <v>0</v>
      </c>
      <c r="F60" s="511">
        <f t="shared" si="13"/>
        <v>0</v>
      </c>
      <c r="G60" s="512">
        <f t="shared" si="11"/>
        <v>0</v>
      </c>
      <c r="H60" s="478">
        <f t="shared" si="12"/>
        <v>0</v>
      </c>
      <c r="I60" s="501">
        <f t="shared" si="14"/>
        <v>0</v>
      </c>
      <c r="J60" s="501"/>
      <c r="K60" s="513"/>
      <c r="L60" s="505">
        <f t="shared" si="15"/>
        <v>0</v>
      </c>
      <c r="M60" s="513"/>
      <c r="N60" s="505">
        <f t="shared" si="16"/>
        <v>0</v>
      </c>
      <c r="O60" s="505">
        <f t="shared" si="17"/>
        <v>0</v>
      </c>
      <c r="P60" s="279"/>
      <c r="R60" s="244"/>
      <c r="S60" s="244"/>
      <c r="T60" s="244"/>
      <c r="U60" s="244"/>
    </row>
    <row r="61" spans="2:21" ht="12.5">
      <c r="B61" s="145" t="str">
        <f t="shared" si="6"/>
        <v/>
      </c>
      <c r="C61" s="496">
        <f>IF(D11="","-",+C60+1)</f>
        <v>2054</v>
      </c>
      <c r="D61" s="509">
        <f>IF(F60+SUM(E$17:E60)=D$10,F60,D$10-SUM(E$17:E60))</f>
        <v>0</v>
      </c>
      <c r="E61" s="510">
        <f>IF(+I14&lt;F60,I14,D61)</f>
        <v>0</v>
      </c>
      <c r="F61" s="511">
        <f t="shared" si="13"/>
        <v>0</v>
      </c>
      <c r="G61" s="512">
        <f t="shared" si="11"/>
        <v>0</v>
      </c>
      <c r="H61" s="478">
        <f t="shared" si="12"/>
        <v>0</v>
      </c>
      <c r="I61" s="501">
        <f t="shared" si="14"/>
        <v>0</v>
      </c>
      <c r="J61" s="501"/>
      <c r="K61" s="513"/>
      <c r="L61" s="505">
        <f t="shared" si="15"/>
        <v>0</v>
      </c>
      <c r="M61" s="513"/>
      <c r="N61" s="505">
        <f t="shared" si="16"/>
        <v>0</v>
      </c>
      <c r="O61" s="505">
        <f t="shared" si="17"/>
        <v>0</v>
      </c>
      <c r="P61" s="279"/>
      <c r="R61" s="244"/>
      <c r="S61" s="244"/>
      <c r="T61" s="244"/>
      <c r="U61" s="244"/>
    </row>
    <row r="62" spans="2:21" ht="12.5">
      <c r="B62" s="145" t="str">
        <f t="shared" si="6"/>
        <v/>
      </c>
      <c r="C62" s="496">
        <f>IF(D11="","-",+C61+1)</f>
        <v>2055</v>
      </c>
      <c r="D62" s="509">
        <f>IF(F61+SUM(E$17:E61)=D$10,F61,D$10-SUM(E$17:E61))</f>
        <v>0</v>
      </c>
      <c r="E62" s="510">
        <f>IF(+I14&lt;F61,I14,D62)</f>
        <v>0</v>
      </c>
      <c r="F62" s="511">
        <f t="shared" si="13"/>
        <v>0</v>
      </c>
      <c r="G62" s="524">
        <f t="shared" si="11"/>
        <v>0</v>
      </c>
      <c r="H62" s="478">
        <f t="shared" si="12"/>
        <v>0</v>
      </c>
      <c r="I62" s="501">
        <f t="shared" si="14"/>
        <v>0</v>
      </c>
      <c r="J62" s="501"/>
      <c r="K62" s="513"/>
      <c r="L62" s="505">
        <f t="shared" si="15"/>
        <v>0</v>
      </c>
      <c r="M62" s="513"/>
      <c r="N62" s="505">
        <f t="shared" si="16"/>
        <v>0</v>
      </c>
      <c r="O62" s="505">
        <f t="shared" si="17"/>
        <v>0</v>
      </c>
      <c r="P62" s="279"/>
      <c r="R62" s="244"/>
      <c r="S62" s="244"/>
      <c r="T62" s="244"/>
      <c r="U62" s="244"/>
    </row>
    <row r="63" spans="2:21" ht="12.5">
      <c r="B63" s="145" t="str">
        <f t="shared" si="6"/>
        <v/>
      </c>
      <c r="C63" s="496">
        <f>IF(D11="","-",+C62+1)</f>
        <v>2056</v>
      </c>
      <c r="D63" s="509">
        <f>IF(F62+SUM(E$17:E62)=D$10,F62,D$10-SUM(E$17:E62))</f>
        <v>0</v>
      </c>
      <c r="E63" s="510">
        <f>IF(+I14&lt;F62,I14,D63)</f>
        <v>0</v>
      </c>
      <c r="F63" s="511">
        <f t="shared" si="13"/>
        <v>0</v>
      </c>
      <c r="G63" s="524">
        <f t="shared" si="11"/>
        <v>0</v>
      </c>
      <c r="H63" s="478">
        <f t="shared" si="12"/>
        <v>0</v>
      </c>
      <c r="I63" s="501">
        <f t="shared" si="14"/>
        <v>0</v>
      </c>
      <c r="J63" s="501"/>
      <c r="K63" s="513"/>
      <c r="L63" s="505">
        <f t="shared" si="15"/>
        <v>0</v>
      </c>
      <c r="M63" s="513"/>
      <c r="N63" s="505">
        <f t="shared" si="16"/>
        <v>0</v>
      </c>
      <c r="O63" s="505">
        <f t="shared" si="17"/>
        <v>0</v>
      </c>
      <c r="P63" s="279"/>
      <c r="R63" s="244"/>
      <c r="S63" s="244"/>
      <c r="T63" s="244"/>
      <c r="U63" s="244"/>
    </row>
    <row r="64" spans="2:21" ht="12.5">
      <c r="B64" s="145" t="str">
        <f t="shared" si="6"/>
        <v/>
      </c>
      <c r="C64" s="496">
        <f>IF(D11="","-",+C63+1)</f>
        <v>2057</v>
      </c>
      <c r="D64" s="509">
        <f>IF(F63+SUM(E$17:E63)=D$10,F63,D$10-SUM(E$17:E63))</f>
        <v>0</v>
      </c>
      <c r="E64" s="510">
        <f>IF(+I14&lt;F63,I14,D64)</f>
        <v>0</v>
      </c>
      <c r="F64" s="511">
        <f t="shared" si="13"/>
        <v>0</v>
      </c>
      <c r="G64" s="524">
        <f t="shared" si="11"/>
        <v>0</v>
      </c>
      <c r="H64" s="478">
        <f t="shared" si="12"/>
        <v>0</v>
      </c>
      <c r="I64" s="501">
        <f t="shared" si="14"/>
        <v>0</v>
      </c>
      <c r="J64" s="501"/>
      <c r="K64" s="513"/>
      <c r="L64" s="505">
        <f t="shared" si="15"/>
        <v>0</v>
      </c>
      <c r="M64" s="513"/>
      <c r="N64" s="505">
        <f t="shared" si="16"/>
        <v>0</v>
      </c>
      <c r="O64" s="505">
        <f t="shared" si="17"/>
        <v>0</v>
      </c>
      <c r="P64" s="279"/>
      <c r="R64" s="244"/>
      <c r="S64" s="244"/>
      <c r="T64" s="244"/>
      <c r="U64" s="244"/>
    </row>
    <row r="65" spans="2:21" ht="12.5">
      <c r="B65" s="145" t="str">
        <f t="shared" si="6"/>
        <v/>
      </c>
      <c r="C65" s="496">
        <f>IF(D11="","-",+C64+1)</f>
        <v>2058</v>
      </c>
      <c r="D65" s="509">
        <f>IF(F64+SUM(E$17:E64)=D$10,F64,D$10-SUM(E$17:E64))</f>
        <v>0</v>
      </c>
      <c r="E65" s="510">
        <f>IF(+I14&lt;F64,I14,D65)</f>
        <v>0</v>
      </c>
      <c r="F65" s="511">
        <f t="shared" si="13"/>
        <v>0</v>
      </c>
      <c r="G65" s="524">
        <f t="shared" si="11"/>
        <v>0</v>
      </c>
      <c r="H65" s="478">
        <f t="shared" si="12"/>
        <v>0</v>
      </c>
      <c r="I65" s="501">
        <f t="shared" si="14"/>
        <v>0</v>
      </c>
      <c r="J65" s="501"/>
      <c r="K65" s="513"/>
      <c r="L65" s="505">
        <f t="shared" si="15"/>
        <v>0</v>
      </c>
      <c r="M65" s="513"/>
      <c r="N65" s="505">
        <f t="shared" si="16"/>
        <v>0</v>
      </c>
      <c r="O65" s="505">
        <f t="shared" si="17"/>
        <v>0</v>
      </c>
      <c r="P65" s="279"/>
      <c r="R65" s="244"/>
      <c r="S65" s="244"/>
      <c r="T65" s="244"/>
      <c r="U65" s="244"/>
    </row>
    <row r="66" spans="2:21" ht="12.5">
      <c r="B66" s="145" t="str">
        <f t="shared" si="6"/>
        <v/>
      </c>
      <c r="C66" s="496">
        <f>IF(D11="","-",+C65+1)</f>
        <v>2059</v>
      </c>
      <c r="D66" s="509">
        <f>IF(F65+SUM(E$17:E65)=D$10,F65,D$10-SUM(E$17:E65))</f>
        <v>0</v>
      </c>
      <c r="E66" s="510">
        <f>IF(+I14&lt;F65,I14,D66)</f>
        <v>0</v>
      </c>
      <c r="F66" s="511">
        <f t="shared" si="13"/>
        <v>0</v>
      </c>
      <c r="G66" s="524">
        <f t="shared" si="11"/>
        <v>0</v>
      </c>
      <c r="H66" s="478">
        <f t="shared" si="12"/>
        <v>0</v>
      </c>
      <c r="I66" s="501">
        <f t="shared" si="14"/>
        <v>0</v>
      </c>
      <c r="J66" s="501"/>
      <c r="K66" s="513"/>
      <c r="L66" s="505">
        <f t="shared" si="15"/>
        <v>0</v>
      </c>
      <c r="M66" s="513"/>
      <c r="N66" s="505">
        <f t="shared" si="16"/>
        <v>0</v>
      </c>
      <c r="O66" s="505">
        <f t="shared" si="17"/>
        <v>0</v>
      </c>
      <c r="P66" s="279"/>
      <c r="R66" s="244"/>
      <c r="S66" s="244"/>
      <c r="T66" s="244"/>
      <c r="U66" s="244"/>
    </row>
    <row r="67" spans="2:21" ht="12.5">
      <c r="B67" s="145" t="str">
        <f t="shared" si="6"/>
        <v/>
      </c>
      <c r="C67" s="496">
        <f>IF(D11="","-",+C66+1)</f>
        <v>2060</v>
      </c>
      <c r="D67" s="509">
        <f>IF(F66+SUM(E$17:E66)=D$10,F66,D$10-SUM(E$17:E66))</f>
        <v>0</v>
      </c>
      <c r="E67" s="510">
        <f>IF(+I14&lt;F66,I14,D67)</f>
        <v>0</v>
      </c>
      <c r="F67" s="511">
        <f t="shared" si="13"/>
        <v>0</v>
      </c>
      <c r="G67" s="524">
        <f t="shared" si="11"/>
        <v>0</v>
      </c>
      <c r="H67" s="478">
        <f t="shared" si="12"/>
        <v>0</v>
      </c>
      <c r="I67" s="501">
        <f t="shared" si="14"/>
        <v>0</v>
      </c>
      <c r="J67" s="501"/>
      <c r="K67" s="513"/>
      <c r="L67" s="505">
        <f t="shared" si="15"/>
        <v>0</v>
      </c>
      <c r="M67" s="513"/>
      <c r="N67" s="505">
        <f t="shared" si="16"/>
        <v>0</v>
      </c>
      <c r="O67" s="505">
        <f t="shared" si="17"/>
        <v>0</v>
      </c>
      <c r="P67" s="279"/>
      <c r="R67" s="244"/>
      <c r="S67" s="244"/>
      <c r="T67" s="244"/>
      <c r="U67" s="244"/>
    </row>
    <row r="68" spans="2:21" ht="12.5">
      <c r="B68" s="145" t="str">
        <f t="shared" si="6"/>
        <v/>
      </c>
      <c r="C68" s="496">
        <f>IF(D11="","-",+C67+1)</f>
        <v>2061</v>
      </c>
      <c r="D68" s="509">
        <f>IF(F67+SUM(E$17:E67)=D$10,F67,D$10-SUM(E$17:E67))</f>
        <v>0</v>
      </c>
      <c r="E68" s="510">
        <f>IF(+I14&lt;F67,I14,D68)</f>
        <v>0</v>
      </c>
      <c r="F68" s="511">
        <f t="shared" si="13"/>
        <v>0</v>
      </c>
      <c r="G68" s="524">
        <f t="shared" si="11"/>
        <v>0</v>
      </c>
      <c r="H68" s="478">
        <f t="shared" si="12"/>
        <v>0</v>
      </c>
      <c r="I68" s="501">
        <f t="shared" si="14"/>
        <v>0</v>
      </c>
      <c r="J68" s="501"/>
      <c r="K68" s="513"/>
      <c r="L68" s="505">
        <f t="shared" si="15"/>
        <v>0</v>
      </c>
      <c r="M68" s="513"/>
      <c r="N68" s="505">
        <f t="shared" si="16"/>
        <v>0</v>
      </c>
      <c r="O68" s="505">
        <f t="shared" si="17"/>
        <v>0</v>
      </c>
      <c r="P68" s="279"/>
      <c r="R68" s="244"/>
      <c r="S68" s="244"/>
      <c r="T68" s="244"/>
      <c r="U68" s="244"/>
    </row>
    <row r="69" spans="2:21" ht="12.5">
      <c r="B69" s="145" t="str">
        <f t="shared" si="6"/>
        <v/>
      </c>
      <c r="C69" s="496">
        <f>IF(D11="","-",+C68+1)</f>
        <v>2062</v>
      </c>
      <c r="D69" s="509">
        <f>IF(F68+SUM(E$17:E68)=D$10,F68,D$10-SUM(E$17:E68))</f>
        <v>0</v>
      </c>
      <c r="E69" s="510">
        <f>IF(+I14&lt;F68,I14,D69)</f>
        <v>0</v>
      </c>
      <c r="F69" s="511">
        <f t="shared" si="13"/>
        <v>0</v>
      </c>
      <c r="G69" s="524">
        <f t="shared" si="11"/>
        <v>0</v>
      </c>
      <c r="H69" s="478">
        <f t="shared" si="12"/>
        <v>0</v>
      </c>
      <c r="I69" s="501">
        <f t="shared" si="14"/>
        <v>0</v>
      </c>
      <c r="J69" s="501"/>
      <c r="K69" s="513"/>
      <c r="L69" s="505">
        <f t="shared" si="15"/>
        <v>0</v>
      </c>
      <c r="M69" s="513"/>
      <c r="N69" s="505">
        <f t="shared" si="16"/>
        <v>0</v>
      </c>
      <c r="O69" s="505">
        <f t="shared" si="17"/>
        <v>0</v>
      </c>
      <c r="P69" s="279"/>
      <c r="R69" s="244"/>
      <c r="S69" s="244"/>
      <c r="T69" s="244"/>
      <c r="U69" s="244"/>
    </row>
    <row r="70" spans="2:21" ht="12.5">
      <c r="B70" s="145" t="str">
        <f t="shared" si="6"/>
        <v/>
      </c>
      <c r="C70" s="496">
        <f>IF(D11="","-",+C69+1)</f>
        <v>2063</v>
      </c>
      <c r="D70" s="509">
        <f>IF(F69+SUM(E$17:E69)=D$10,F69,D$10-SUM(E$17:E69))</f>
        <v>0</v>
      </c>
      <c r="E70" s="510">
        <f>IF(+I14&lt;F69,I14,D70)</f>
        <v>0</v>
      </c>
      <c r="F70" s="511">
        <f t="shared" si="13"/>
        <v>0</v>
      </c>
      <c r="G70" s="524">
        <f t="shared" si="11"/>
        <v>0</v>
      </c>
      <c r="H70" s="478">
        <f t="shared" si="12"/>
        <v>0</v>
      </c>
      <c r="I70" s="501">
        <f t="shared" si="14"/>
        <v>0</v>
      </c>
      <c r="J70" s="501"/>
      <c r="K70" s="513"/>
      <c r="L70" s="505">
        <f t="shared" si="15"/>
        <v>0</v>
      </c>
      <c r="M70" s="513"/>
      <c r="N70" s="505">
        <f t="shared" si="16"/>
        <v>0</v>
      </c>
      <c r="O70" s="505">
        <f t="shared" si="17"/>
        <v>0</v>
      </c>
      <c r="P70" s="279"/>
      <c r="R70" s="244"/>
      <c r="S70" s="244"/>
      <c r="T70" s="244"/>
      <c r="U70" s="244"/>
    </row>
    <row r="71" spans="2:21" ht="12.5">
      <c r="B71" s="145" t="str">
        <f t="shared" si="6"/>
        <v/>
      </c>
      <c r="C71" s="496">
        <f>IF(D11="","-",+C70+1)</f>
        <v>2064</v>
      </c>
      <c r="D71" s="509">
        <f>IF(F70+SUM(E$17:E70)=D$10,F70,D$10-SUM(E$17:E70))</f>
        <v>0</v>
      </c>
      <c r="E71" s="510">
        <f>IF(+I14&lt;F70,I14,D71)</f>
        <v>0</v>
      </c>
      <c r="F71" s="511">
        <f t="shared" si="13"/>
        <v>0</v>
      </c>
      <c r="G71" s="524">
        <f t="shared" si="11"/>
        <v>0</v>
      </c>
      <c r="H71" s="478">
        <f t="shared" si="12"/>
        <v>0</v>
      </c>
      <c r="I71" s="501">
        <f t="shared" si="14"/>
        <v>0</v>
      </c>
      <c r="J71" s="501"/>
      <c r="K71" s="513"/>
      <c r="L71" s="505">
        <f t="shared" si="15"/>
        <v>0</v>
      </c>
      <c r="M71" s="513"/>
      <c r="N71" s="505">
        <f t="shared" si="16"/>
        <v>0</v>
      </c>
      <c r="O71" s="505">
        <f t="shared" si="17"/>
        <v>0</v>
      </c>
      <c r="P71" s="279"/>
      <c r="R71" s="244"/>
      <c r="S71" s="244"/>
      <c r="T71" s="244"/>
      <c r="U71" s="244"/>
    </row>
    <row r="72" spans="2:21" ht="12.5">
      <c r="B72" s="145" t="str">
        <f t="shared" si="6"/>
        <v/>
      </c>
      <c r="C72" s="496">
        <f>IF(D11="","-",+C71+1)</f>
        <v>2065</v>
      </c>
      <c r="D72" s="509">
        <f>IF(F71+SUM(E$17:E71)=D$10,F71,D$10-SUM(E$17:E71))</f>
        <v>0</v>
      </c>
      <c r="E72" s="510">
        <f>IF(+I14&lt;F71,I14,D72)</f>
        <v>0</v>
      </c>
      <c r="F72" s="511">
        <f t="shared" si="13"/>
        <v>0</v>
      </c>
      <c r="G72" s="524">
        <f t="shared" si="11"/>
        <v>0</v>
      </c>
      <c r="H72" s="478">
        <f t="shared" si="12"/>
        <v>0</v>
      </c>
      <c r="I72" s="501">
        <f t="shared" si="14"/>
        <v>0</v>
      </c>
      <c r="J72" s="501"/>
      <c r="K72" s="513"/>
      <c r="L72" s="505">
        <f t="shared" si="15"/>
        <v>0</v>
      </c>
      <c r="M72" s="513"/>
      <c r="N72" s="505">
        <f t="shared" si="16"/>
        <v>0</v>
      </c>
      <c r="O72" s="505">
        <f t="shared" si="17"/>
        <v>0</v>
      </c>
      <c r="P72" s="279"/>
      <c r="R72" s="244"/>
      <c r="S72" s="244"/>
      <c r="T72" s="244"/>
      <c r="U72" s="244"/>
    </row>
    <row r="73" spans="2:21" ht="13" thickBot="1">
      <c r="B73" s="145" t="str">
        <f t="shared" si="6"/>
        <v/>
      </c>
      <c r="C73" s="525">
        <f>IF(D11="","-",+C72+1)</f>
        <v>2066</v>
      </c>
      <c r="D73" s="526">
        <f>IF(F72+SUM(E$17:E72)=D$10,F72,D$10-SUM(E$17:E72))</f>
        <v>0</v>
      </c>
      <c r="E73" s="527">
        <f>IF(+I14&lt;F72,I14,D73)</f>
        <v>0</v>
      </c>
      <c r="F73" s="528">
        <f t="shared" si="13"/>
        <v>0</v>
      </c>
      <c r="G73" s="529">
        <f t="shared" si="11"/>
        <v>0</v>
      </c>
      <c r="H73" s="459">
        <f t="shared" si="12"/>
        <v>0</v>
      </c>
      <c r="I73" s="530">
        <f t="shared" si="14"/>
        <v>0</v>
      </c>
      <c r="J73" s="501"/>
      <c r="K73" s="531"/>
      <c r="L73" s="532">
        <f t="shared" si="15"/>
        <v>0</v>
      </c>
      <c r="M73" s="531"/>
      <c r="N73" s="532">
        <f t="shared" si="16"/>
        <v>0</v>
      </c>
      <c r="O73" s="532">
        <f t="shared" si="17"/>
        <v>0</v>
      </c>
      <c r="P73" s="279"/>
      <c r="R73" s="244"/>
      <c r="S73" s="244"/>
      <c r="T73" s="244"/>
      <c r="U73" s="244"/>
    </row>
    <row r="74" spans="2:21" ht="12.5">
      <c r="C74" s="350" t="s">
        <v>75</v>
      </c>
      <c r="D74" s="295"/>
      <c r="E74" s="295">
        <f>SUM(E17:E73)</f>
        <v>985777.3400000002</v>
      </c>
      <c r="F74" s="295"/>
      <c r="G74" s="295">
        <f>SUM(G17:G73)</f>
        <v>3186087.0093810866</v>
      </c>
      <c r="H74" s="295">
        <f>SUM(H17:H73)</f>
        <v>3186087.0093810866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2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111686.32809259798</v>
      </c>
      <c r="N88" s="545">
        <f>IF(J93&lt;D11,0,VLOOKUP(J93,C17:O73,11))</f>
        <v>111686.32809259798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117405.37509665726</v>
      </c>
      <c r="N89" s="549">
        <f>IF(J93&lt;D11,0,VLOOKUP(J93,C100:P155,7))</f>
        <v>117405.37509665726</v>
      </c>
      <c r="O89" s="550">
        <f>+N89-M89</f>
        <v>0</v>
      </c>
      <c r="P89" s="244"/>
      <c r="Q89" s="244"/>
      <c r="R89" s="244"/>
      <c r="S89" s="244"/>
      <c r="T89" s="244"/>
      <c r="U89" s="244"/>
    </row>
    <row r="90" spans="1:21" ht="13.5" thickBot="1">
      <c r="C90" s="455" t="s">
        <v>82</v>
      </c>
      <c r="D90" s="551" t="str">
        <f>+D7</f>
        <v>Coffeyville T to Dearing 138 kV Rebuild - 1.1 miles</v>
      </c>
      <c r="E90" s="244"/>
      <c r="F90" s="244"/>
      <c r="G90" s="244"/>
      <c r="H90" s="244"/>
      <c r="I90" s="326"/>
      <c r="J90" s="326"/>
      <c r="K90" s="552"/>
      <c r="L90" s="553" t="s">
        <v>135</v>
      </c>
      <c r="M90" s="554">
        <f>+M89-M88</f>
        <v>5719.0470040592772</v>
      </c>
      <c r="N90" s="554">
        <f>+N89-N88</f>
        <v>5719.0470040592772</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TP2008013</v>
      </c>
      <c r="E92" s="559"/>
      <c r="F92" s="559"/>
      <c r="G92" s="559"/>
      <c r="H92" s="559"/>
      <c r="I92" s="559"/>
      <c r="J92" s="559"/>
      <c r="K92" s="561"/>
      <c r="P92" s="469"/>
      <c r="Q92" s="244"/>
      <c r="R92" s="244"/>
      <c r="S92" s="244"/>
      <c r="T92" s="244"/>
      <c r="U92" s="244"/>
    </row>
    <row r="93" spans="1:21" ht="13">
      <c r="C93" s="473" t="s">
        <v>49</v>
      </c>
      <c r="D93" s="471">
        <f>IF(D11=I10,0,D10)</f>
        <v>985777.34</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35206.333571428571</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8">IF(D100=F99,"","IU")</f>
        <v>IU</v>
      </c>
      <c r="C100" s="496">
        <f>IF(D94= "","-",D94)</f>
        <v>2010</v>
      </c>
      <c r="D100" s="497">
        <v>0</v>
      </c>
      <c r="E100" s="499">
        <v>8464.310344827587</v>
      </c>
      <c r="F100" s="506">
        <v>973395.68965517241</v>
      </c>
      <c r="G100" s="572">
        <v>486697.8448275862</v>
      </c>
      <c r="H100" s="572">
        <v>173914.12278230567</v>
      </c>
      <c r="I100" s="572">
        <v>173914.12278230567</v>
      </c>
      <c r="J100" s="505">
        <f t="shared" ref="J100:J131" si="19">+I100-H100</f>
        <v>0</v>
      </c>
      <c r="K100" s="505"/>
      <c r="L100" s="507">
        <f t="shared" ref="L100:L105" si="20">H100</f>
        <v>173914.12278230567</v>
      </c>
      <c r="M100" s="508">
        <f>IF(L100&lt;&gt;0,+H100-L100,0)</f>
        <v>0</v>
      </c>
      <c r="N100" s="507">
        <f t="shared" ref="N100:N105" si="21">I100</f>
        <v>173914.12278230567</v>
      </c>
      <c r="O100" s="504">
        <f t="shared" ref="O100:O131" si="22">IF(N100&lt;&gt;0,+I100-N100,0)</f>
        <v>0</v>
      </c>
      <c r="P100" s="504">
        <f t="shared" ref="P100:P131" si="23">+O100-M100</f>
        <v>0</v>
      </c>
      <c r="Q100" s="244"/>
      <c r="R100" s="244"/>
      <c r="S100" s="244"/>
      <c r="T100" s="244"/>
      <c r="U100" s="244"/>
    </row>
    <row r="101" spans="1:21" ht="12.5">
      <c r="B101" s="145" t="str">
        <f t="shared" si="18"/>
        <v/>
      </c>
      <c r="C101" s="496">
        <f>IF(D94="","-",+C100+1)</f>
        <v>2011</v>
      </c>
      <c r="D101" s="497">
        <v>973395.68965517241</v>
      </c>
      <c r="E101" s="499">
        <v>16996.161034482757</v>
      </c>
      <c r="F101" s="506">
        <v>956399.52862068964</v>
      </c>
      <c r="G101" s="506">
        <v>964897.60913793102</v>
      </c>
      <c r="H101" s="499">
        <v>88738.637904978968</v>
      </c>
      <c r="I101" s="500">
        <v>88738.637904978968</v>
      </c>
      <c r="J101" s="505">
        <v>0</v>
      </c>
      <c r="K101" s="505"/>
      <c r="L101" s="507">
        <f t="shared" si="20"/>
        <v>88738.637904978968</v>
      </c>
      <c r="M101" s="505">
        <f t="shared" ref="M101:M131" si="24">IF(L101&lt;&gt;0,+H101-L101,0)</f>
        <v>0</v>
      </c>
      <c r="N101" s="507">
        <f t="shared" si="21"/>
        <v>88738.637904978968</v>
      </c>
      <c r="O101" s="505">
        <f t="shared" si="22"/>
        <v>0</v>
      </c>
      <c r="P101" s="505">
        <f t="shared" si="23"/>
        <v>0</v>
      </c>
      <c r="Q101" s="244"/>
      <c r="R101" s="244"/>
      <c r="S101" s="244"/>
      <c r="T101" s="244"/>
      <c r="U101" s="244"/>
    </row>
    <row r="102" spans="1:21" ht="12.5">
      <c r="B102" s="145" t="str">
        <f t="shared" si="18"/>
        <v>IU</v>
      </c>
      <c r="C102" s="496">
        <f>IF(D94="","-",+C101+1)</f>
        <v>2012</v>
      </c>
      <c r="D102" s="497">
        <v>960316.86862068961</v>
      </c>
      <c r="E102" s="499">
        <v>16996.161034482757</v>
      </c>
      <c r="F102" s="506">
        <v>943320.70758620685</v>
      </c>
      <c r="G102" s="506">
        <v>951818.78810344823</v>
      </c>
      <c r="H102" s="499">
        <v>113462.4664066085</v>
      </c>
      <c r="I102" s="500">
        <v>113462.4664066085</v>
      </c>
      <c r="J102" s="505">
        <v>0</v>
      </c>
      <c r="K102" s="505"/>
      <c r="L102" s="507">
        <f t="shared" si="20"/>
        <v>113462.4664066085</v>
      </c>
      <c r="M102" s="505">
        <f t="shared" ref="M102:M107" si="25">IF(L102&lt;&gt;0,+H102-L102,0)</f>
        <v>0</v>
      </c>
      <c r="N102" s="507">
        <f t="shared" si="21"/>
        <v>113462.4664066085</v>
      </c>
      <c r="O102" s="505">
        <f>IF(N102&lt;&gt;0,+I102-N102,0)</f>
        <v>0</v>
      </c>
      <c r="P102" s="505">
        <f>+O102-M102</f>
        <v>0</v>
      </c>
      <c r="Q102" s="244"/>
      <c r="R102" s="244"/>
      <c r="S102" s="244"/>
      <c r="T102" s="244"/>
      <c r="U102" s="244"/>
    </row>
    <row r="103" spans="1:21" ht="12.5">
      <c r="B103" s="145" t="str">
        <f t="shared" si="18"/>
        <v/>
      </c>
      <c r="C103" s="496">
        <f>IF(D94="","-",+C102+1)</f>
        <v>2013</v>
      </c>
      <c r="D103" s="497">
        <v>943320.70758620685</v>
      </c>
      <c r="E103" s="499">
        <v>16996.161034482757</v>
      </c>
      <c r="F103" s="506">
        <v>926324.54655172408</v>
      </c>
      <c r="G103" s="506">
        <v>934822.62706896546</v>
      </c>
      <c r="H103" s="499">
        <v>123248.05893507614</v>
      </c>
      <c r="I103" s="500">
        <v>123248.05893507614</v>
      </c>
      <c r="J103" s="505">
        <v>0</v>
      </c>
      <c r="K103" s="505"/>
      <c r="L103" s="507">
        <f t="shared" si="20"/>
        <v>123248.05893507614</v>
      </c>
      <c r="M103" s="505">
        <f t="shared" si="25"/>
        <v>0</v>
      </c>
      <c r="N103" s="507">
        <f t="shared" si="21"/>
        <v>123248.05893507614</v>
      </c>
      <c r="O103" s="505">
        <f>IF(N103&lt;&gt;0,+I103-N103,0)</f>
        <v>0</v>
      </c>
      <c r="P103" s="505">
        <f>+O103-M103</f>
        <v>0</v>
      </c>
      <c r="Q103" s="244"/>
      <c r="R103" s="244"/>
      <c r="S103" s="244"/>
      <c r="T103" s="244"/>
      <c r="U103" s="244"/>
    </row>
    <row r="104" spans="1:21" ht="12.5">
      <c r="B104" s="145" t="str">
        <f t="shared" si="18"/>
        <v/>
      </c>
      <c r="C104" s="496">
        <f>IF(D94="","-",+C103+1)</f>
        <v>2014</v>
      </c>
      <c r="D104" s="497">
        <v>926324.54655172408</v>
      </c>
      <c r="E104" s="499">
        <v>16996.161034482757</v>
      </c>
      <c r="F104" s="506">
        <v>909328.38551724132</v>
      </c>
      <c r="G104" s="506">
        <v>917826.4660344827</v>
      </c>
      <c r="H104" s="499">
        <v>115702.36527195803</v>
      </c>
      <c r="I104" s="500">
        <v>115702.36527195803</v>
      </c>
      <c r="J104" s="505">
        <v>0</v>
      </c>
      <c r="K104" s="505"/>
      <c r="L104" s="507">
        <f t="shared" si="20"/>
        <v>115702.36527195803</v>
      </c>
      <c r="M104" s="505">
        <f t="shared" si="25"/>
        <v>0</v>
      </c>
      <c r="N104" s="507">
        <f t="shared" si="21"/>
        <v>115702.36527195803</v>
      </c>
      <c r="O104" s="505">
        <f>IF(N104&lt;&gt;0,+I104-N104,0)</f>
        <v>0</v>
      </c>
      <c r="P104" s="505">
        <f>+O104-M104</f>
        <v>0</v>
      </c>
      <c r="Q104" s="244"/>
      <c r="R104" s="244"/>
      <c r="S104" s="244"/>
      <c r="T104" s="244"/>
      <c r="U104" s="244"/>
    </row>
    <row r="105" spans="1:21" ht="12.5">
      <c r="B105" s="145" t="str">
        <f t="shared" si="18"/>
        <v/>
      </c>
      <c r="C105" s="496">
        <f>IF(D94="","-",+C104+1)</f>
        <v>2015</v>
      </c>
      <c r="D105" s="497">
        <v>909328.38551724132</v>
      </c>
      <c r="E105" s="499">
        <v>20537.027916666666</v>
      </c>
      <c r="F105" s="506">
        <v>888791.35760057461</v>
      </c>
      <c r="G105" s="506">
        <v>899059.87155890791</v>
      </c>
      <c r="H105" s="499">
        <v>120628.84968807173</v>
      </c>
      <c r="I105" s="500">
        <v>120628.84968807173</v>
      </c>
      <c r="J105" s="505">
        <f t="shared" si="19"/>
        <v>0</v>
      </c>
      <c r="K105" s="505"/>
      <c r="L105" s="507">
        <f t="shared" si="20"/>
        <v>120628.84968807173</v>
      </c>
      <c r="M105" s="505">
        <f t="shared" si="25"/>
        <v>0</v>
      </c>
      <c r="N105" s="507">
        <f t="shared" si="21"/>
        <v>120628.84968807173</v>
      </c>
      <c r="O105" s="505">
        <f t="shared" si="22"/>
        <v>0</v>
      </c>
      <c r="P105" s="505">
        <f t="shared" si="23"/>
        <v>0</v>
      </c>
      <c r="Q105" s="244"/>
      <c r="R105" s="244"/>
      <c r="S105" s="244"/>
      <c r="T105" s="244"/>
      <c r="U105" s="244"/>
    </row>
    <row r="106" spans="1:21" ht="12.5">
      <c r="B106" s="145" t="str">
        <f t="shared" si="18"/>
        <v/>
      </c>
      <c r="C106" s="496">
        <f>IF(D94="","-",+C105+1)</f>
        <v>2016</v>
      </c>
      <c r="D106" s="497">
        <v>888791.35760057461</v>
      </c>
      <c r="E106" s="499">
        <v>19328.967450980392</v>
      </c>
      <c r="F106" s="506">
        <v>869462.39014959417</v>
      </c>
      <c r="G106" s="506">
        <v>879126.87387508433</v>
      </c>
      <c r="H106" s="499">
        <v>114599.47152988262</v>
      </c>
      <c r="I106" s="500">
        <v>114599.47152988262</v>
      </c>
      <c r="J106" s="505">
        <f t="shared" si="19"/>
        <v>0</v>
      </c>
      <c r="K106" s="505"/>
      <c r="L106" s="507">
        <f>H106</f>
        <v>114599.47152988262</v>
      </c>
      <c r="M106" s="505">
        <f t="shared" si="25"/>
        <v>0</v>
      </c>
      <c r="N106" s="507">
        <f>I106</f>
        <v>114599.47152988262</v>
      </c>
      <c r="O106" s="505">
        <f>IF(N106&lt;&gt;0,+I106-N106,0)</f>
        <v>0</v>
      </c>
      <c r="P106" s="505">
        <f>+O106-M106</f>
        <v>0</v>
      </c>
      <c r="Q106" s="244"/>
      <c r="R106" s="244"/>
      <c r="S106" s="244"/>
      <c r="T106" s="244"/>
      <c r="U106" s="244"/>
    </row>
    <row r="107" spans="1:21" ht="12.5">
      <c r="B107" s="145" t="str">
        <f t="shared" si="18"/>
        <v/>
      </c>
      <c r="C107" s="496">
        <f>IF(D94="","-",+C106+1)</f>
        <v>2017</v>
      </c>
      <c r="D107" s="497">
        <v>869462.39014959417</v>
      </c>
      <c r="E107" s="499">
        <v>24644.433499999999</v>
      </c>
      <c r="F107" s="506">
        <v>844817.95664959413</v>
      </c>
      <c r="G107" s="506">
        <v>857140.17339959415</v>
      </c>
      <c r="H107" s="499">
        <v>125217.71649626724</v>
      </c>
      <c r="I107" s="500">
        <v>125217.71649626724</v>
      </c>
      <c r="J107" s="505">
        <f t="shared" si="19"/>
        <v>0</v>
      </c>
      <c r="K107" s="505"/>
      <c r="L107" s="507">
        <f>H107</f>
        <v>125217.71649626724</v>
      </c>
      <c r="M107" s="505">
        <f t="shared" si="25"/>
        <v>0</v>
      </c>
      <c r="N107" s="507">
        <f>I107</f>
        <v>125217.71649626724</v>
      </c>
      <c r="O107" s="505">
        <f>IF(N107&lt;&gt;0,+I107-N107,0)</f>
        <v>0</v>
      </c>
      <c r="P107" s="505">
        <f>+O107-M107</f>
        <v>0</v>
      </c>
      <c r="Q107" s="244"/>
      <c r="R107" s="244"/>
      <c r="S107" s="244"/>
      <c r="T107" s="244"/>
      <c r="U107" s="244"/>
    </row>
    <row r="108" spans="1:21" ht="12.5">
      <c r="B108" s="145" t="str">
        <f t="shared" si="18"/>
        <v/>
      </c>
      <c r="C108" s="496">
        <f>IF(D94="","-",+C107+1)</f>
        <v>2018</v>
      </c>
      <c r="D108" s="497">
        <v>844817.95664959413</v>
      </c>
      <c r="E108" s="499">
        <v>27382.703888888889</v>
      </c>
      <c r="F108" s="506">
        <v>817435.25276070519</v>
      </c>
      <c r="G108" s="506">
        <v>831126.60470514966</v>
      </c>
      <c r="H108" s="499">
        <v>115118.46379296975</v>
      </c>
      <c r="I108" s="500">
        <v>115118.46379296975</v>
      </c>
      <c r="J108" s="505">
        <f t="shared" si="19"/>
        <v>0</v>
      </c>
      <c r="K108" s="505"/>
      <c r="L108" s="507">
        <f>H108</f>
        <v>115118.46379296975</v>
      </c>
      <c r="M108" s="505">
        <f t="shared" ref="M108" si="26">IF(L108&lt;&gt;0,+H108-L108,0)</f>
        <v>0</v>
      </c>
      <c r="N108" s="507">
        <f>I108</f>
        <v>115118.46379296975</v>
      </c>
      <c r="O108" s="505">
        <f>IF(N108&lt;&gt;0,+I108-N108,0)</f>
        <v>0</v>
      </c>
      <c r="P108" s="505">
        <f>+O108-M108</f>
        <v>0</v>
      </c>
      <c r="Q108" s="244"/>
      <c r="R108" s="244"/>
      <c r="S108" s="244"/>
      <c r="T108" s="244"/>
      <c r="U108" s="244"/>
    </row>
    <row r="109" spans="1:21" ht="12.5">
      <c r="B109" s="145" t="str">
        <f t="shared" si="18"/>
        <v/>
      </c>
      <c r="C109" s="496">
        <f>IF(D94="","-",+C108+1)</f>
        <v>2019</v>
      </c>
      <c r="D109" s="497">
        <v>817435.25276070519</v>
      </c>
      <c r="E109" s="499">
        <v>27382.703888888889</v>
      </c>
      <c r="F109" s="506">
        <v>790052.54887181625</v>
      </c>
      <c r="G109" s="506">
        <v>803743.90081626072</v>
      </c>
      <c r="H109" s="499">
        <v>112227.87850750366</v>
      </c>
      <c r="I109" s="500">
        <v>112227.87850750366</v>
      </c>
      <c r="J109" s="505">
        <f t="shared" si="19"/>
        <v>0</v>
      </c>
      <c r="K109" s="505"/>
      <c r="L109" s="507">
        <f>H109</f>
        <v>112227.87850750366</v>
      </c>
      <c r="M109" s="505">
        <f t="shared" ref="M109" si="27">IF(L109&lt;&gt;0,+H109-L109,0)</f>
        <v>0</v>
      </c>
      <c r="N109" s="507">
        <f>I109</f>
        <v>112227.87850750366</v>
      </c>
      <c r="O109" s="505">
        <f>IF(N109&lt;&gt;0,+I109-N109,0)</f>
        <v>0</v>
      </c>
      <c r="P109" s="505">
        <f t="shared" si="23"/>
        <v>0</v>
      </c>
      <c r="Q109" s="244"/>
      <c r="R109" s="244"/>
      <c r="S109" s="244"/>
      <c r="T109" s="244"/>
      <c r="U109" s="244"/>
    </row>
    <row r="110" spans="1:21" ht="12.5">
      <c r="B110" s="145" t="str">
        <f t="shared" si="18"/>
        <v/>
      </c>
      <c r="C110" s="496">
        <f>IF(D94="","-",+C109+1)</f>
        <v>2020</v>
      </c>
      <c r="D110" s="350">
        <f>IF(F109+SUM(E$100:E109)=D$93,F109,D$93-SUM(E$100:E109))</f>
        <v>790052.54887181625</v>
      </c>
      <c r="E110" s="510">
        <f>IF(+J97&lt;F109,J97,D110)</f>
        <v>35206.333571428571</v>
      </c>
      <c r="F110" s="511">
        <f t="shared" ref="F110:F131" si="28">+D110-E110</f>
        <v>754846.2153003877</v>
      </c>
      <c r="G110" s="511">
        <f t="shared" ref="G110:G131" si="29">+(F110+D110)/2</f>
        <v>772449.38208610192</v>
      </c>
      <c r="H110" s="646">
        <f>(D110+F110)/2*J$95+E110</f>
        <v>117405.37509665726</v>
      </c>
      <c r="I110" s="573">
        <f t="shared" ref="I110:I155" si="30">+J$96*G110+E110</f>
        <v>117405.37509665726</v>
      </c>
      <c r="J110" s="505">
        <f t="shared" si="19"/>
        <v>0</v>
      </c>
      <c r="K110" s="505"/>
      <c r="L110" s="513"/>
      <c r="M110" s="505">
        <f t="shared" si="24"/>
        <v>0</v>
      </c>
      <c r="N110" s="513"/>
      <c r="O110" s="505">
        <f t="shared" si="22"/>
        <v>0</v>
      </c>
      <c r="P110" s="505">
        <f t="shared" si="23"/>
        <v>0</v>
      </c>
      <c r="Q110" s="244"/>
      <c r="R110" s="244"/>
      <c r="S110" s="244"/>
      <c r="T110" s="244"/>
      <c r="U110" s="244"/>
    </row>
    <row r="111" spans="1:21" ht="12.5">
      <c r="B111" s="145" t="str">
        <f t="shared" si="18"/>
        <v/>
      </c>
      <c r="C111" s="496">
        <f>IF(D94="","-",+C110+1)</f>
        <v>2021</v>
      </c>
      <c r="D111" s="350">
        <f>IF(F110+SUM(E$100:E110)=D$93,F110,D$93-SUM(E$100:E110))</f>
        <v>754846.2153003877</v>
      </c>
      <c r="E111" s="510">
        <f>IF(+J97&lt;F110,J97,D111)</f>
        <v>35206.333571428571</v>
      </c>
      <c r="F111" s="511">
        <f t="shared" si="28"/>
        <v>719639.88172895915</v>
      </c>
      <c r="G111" s="511">
        <f t="shared" si="29"/>
        <v>737243.04851467349</v>
      </c>
      <c r="H111" s="646">
        <f t="shared" ref="H111:H155" si="31">(D111+F111)/2*J$95+E111</f>
        <v>113658.945955406</v>
      </c>
      <c r="I111" s="573">
        <f t="shared" si="30"/>
        <v>113658.945955406</v>
      </c>
      <c r="J111" s="505">
        <f t="shared" si="19"/>
        <v>0</v>
      </c>
      <c r="K111" s="505"/>
      <c r="L111" s="513"/>
      <c r="M111" s="505">
        <f t="shared" si="24"/>
        <v>0</v>
      </c>
      <c r="N111" s="513"/>
      <c r="O111" s="505">
        <f t="shared" si="22"/>
        <v>0</v>
      </c>
      <c r="P111" s="505">
        <f t="shared" si="23"/>
        <v>0</v>
      </c>
      <c r="Q111" s="244"/>
      <c r="R111" s="244"/>
      <c r="S111" s="244"/>
      <c r="T111" s="244"/>
      <c r="U111" s="244"/>
    </row>
    <row r="112" spans="1:21" ht="12.5">
      <c r="B112" s="145" t="str">
        <f t="shared" si="18"/>
        <v/>
      </c>
      <c r="C112" s="496">
        <f>IF(D94="","-",+C111+1)</f>
        <v>2022</v>
      </c>
      <c r="D112" s="350">
        <f>IF(F111+SUM(E$100:E111)=D$93,F111,D$93-SUM(E$100:E111))</f>
        <v>719639.88172895915</v>
      </c>
      <c r="E112" s="510">
        <f>IF(+J97&lt;F111,J97,D112)</f>
        <v>35206.333571428571</v>
      </c>
      <c r="F112" s="511">
        <f t="shared" si="28"/>
        <v>684433.5481575306</v>
      </c>
      <c r="G112" s="511">
        <f t="shared" si="29"/>
        <v>702036.71494324482</v>
      </c>
      <c r="H112" s="646">
        <f t="shared" si="31"/>
        <v>109912.51681415472</v>
      </c>
      <c r="I112" s="573">
        <f t="shared" si="30"/>
        <v>109912.51681415472</v>
      </c>
      <c r="J112" s="505">
        <f t="shared" si="19"/>
        <v>0</v>
      </c>
      <c r="K112" s="505"/>
      <c r="L112" s="513"/>
      <c r="M112" s="505">
        <f t="shared" si="24"/>
        <v>0</v>
      </c>
      <c r="N112" s="513"/>
      <c r="O112" s="505">
        <f t="shared" si="22"/>
        <v>0</v>
      </c>
      <c r="P112" s="505">
        <f t="shared" si="23"/>
        <v>0</v>
      </c>
      <c r="Q112" s="244"/>
      <c r="R112" s="244"/>
      <c r="S112" s="244"/>
      <c r="T112" s="244"/>
      <c r="U112" s="244"/>
    </row>
    <row r="113" spans="2:21" ht="12.5">
      <c r="B113" s="145" t="str">
        <f t="shared" si="18"/>
        <v/>
      </c>
      <c r="C113" s="496">
        <f>IF(D94="","-",+C112+1)</f>
        <v>2023</v>
      </c>
      <c r="D113" s="350">
        <f>IF(F112+SUM(E$100:E112)=D$93,F112,D$93-SUM(E$100:E112))</f>
        <v>684433.5481575306</v>
      </c>
      <c r="E113" s="510">
        <f>IF(+J97&lt;F112,J97,D113)</f>
        <v>35206.333571428571</v>
      </c>
      <c r="F113" s="511">
        <f t="shared" si="28"/>
        <v>649227.21458610205</v>
      </c>
      <c r="G113" s="511">
        <f t="shared" si="29"/>
        <v>666830.38137181639</v>
      </c>
      <c r="H113" s="646">
        <f t="shared" si="31"/>
        <v>106166.08767290346</v>
      </c>
      <c r="I113" s="573">
        <f t="shared" si="30"/>
        <v>106166.08767290346</v>
      </c>
      <c r="J113" s="505">
        <f t="shared" si="19"/>
        <v>0</v>
      </c>
      <c r="K113" s="505"/>
      <c r="L113" s="513"/>
      <c r="M113" s="505">
        <f t="shared" si="24"/>
        <v>0</v>
      </c>
      <c r="N113" s="513"/>
      <c r="O113" s="505">
        <f t="shared" si="22"/>
        <v>0</v>
      </c>
      <c r="P113" s="505">
        <f t="shared" si="23"/>
        <v>0</v>
      </c>
      <c r="Q113" s="244"/>
      <c r="R113" s="244"/>
      <c r="S113" s="244"/>
      <c r="T113" s="244"/>
      <c r="U113" s="244"/>
    </row>
    <row r="114" spans="2:21" ht="12.5">
      <c r="B114" s="145" t="str">
        <f t="shared" si="18"/>
        <v/>
      </c>
      <c r="C114" s="496">
        <f>IF(D94="","-",+C113+1)</f>
        <v>2024</v>
      </c>
      <c r="D114" s="350">
        <f>IF(F113+SUM(E$100:E113)=D$93,F113,D$93-SUM(E$100:E113))</f>
        <v>649227.21458610205</v>
      </c>
      <c r="E114" s="510">
        <f>IF(+J97&lt;F113,J97,D114)</f>
        <v>35206.333571428571</v>
      </c>
      <c r="F114" s="511">
        <f t="shared" si="28"/>
        <v>614020.8810146735</v>
      </c>
      <c r="G114" s="511">
        <f t="shared" si="29"/>
        <v>631624.04780038772</v>
      </c>
      <c r="H114" s="646">
        <f t="shared" si="31"/>
        <v>102419.65853165218</v>
      </c>
      <c r="I114" s="573">
        <f t="shared" si="30"/>
        <v>102419.65853165218</v>
      </c>
      <c r="J114" s="505">
        <f t="shared" si="19"/>
        <v>0</v>
      </c>
      <c r="K114" s="505"/>
      <c r="L114" s="513"/>
      <c r="M114" s="505">
        <f t="shared" si="24"/>
        <v>0</v>
      </c>
      <c r="N114" s="513"/>
      <c r="O114" s="505">
        <f t="shared" si="22"/>
        <v>0</v>
      </c>
      <c r="P114" s="505">
        <f t="shared" si="23"/>
        <v>0</v>
      </c>
      <c r="Q114" s="244"/>
      <c r="R114" s="244"/>
      <c r="S114" s="244"/>
      <c r="T114" s="244"/>
      <c r="U114" s="244"/>
    </row>
    <row r="115" spans="2:21" ht="12.5">
      <c r="B115" s="145" t="str">
        <f t="shared" si="18"/>
        <v/>
      </c>
      <c r="C115" s="496">
        <f>IF(D94="","-",+C114+1)</f>
        <v>2025</v>
      </c>
      <c r="D115" s="350">
        <f>IF(F114+SUM(E$100:E114)=D$93,F114,D$93-SUM(E$100:E114))</f>
        <v>614020.8810146735</v>
      </c>
      <c r="E115" s="510">
        <f>IF(+J97&lt;F114,J97,D115)</f>
        <v>35206.333571428571</v>
      </c>
      <c r="F115" s="511">
        <f t="shared" si="28"/>
        <v>578814.54744324496</v>
      </c>
      <c r="G115" s="511">
        <f t="shared" si="29"/>
        <v>596417.71422895929</v>
      </c>
      <c r="H115" s="646">
        <f t="shared" si="31"/>
        <v>98673.229390400928</v>
      </c>
      <c r="I115" s="573">
        <f t="shared" si="30"/>
        <v>98673.229390400928</v>
      </c>
      <c r="J115" s="505">
        <f t="shared" si="19"/>
        <v>0</v>
      </c>
      <c r="K115" s="505"/>
      <c r="L115" s="513"/>
      <c r="M115" s="505">
        <f t="shared" si="24"/>
        <v>0</v>
      </c>
      <c r="N115" s="513"/>
      <c r="O115" s="505">
        <f t="shared" si="22"/>
        <v>0</v>
      </c>
      <c r="P115" s="505">
        <f t="shared" si="23"/>
        <v>0</v>
      </c>
      <c r="Q115" s="244"/>
      <c r="R115" s="244"/>
      <c r="S115" s="244"/>
      <c r="T115" s="244"/>
      <c r="U115" s="244"/>
    </row>
    <row r="116" spans="2:21" ht="12.5">
      <c r="B116" s="145" t="str">
        <f t="shared" si="18"/>
        <v/>
      </c>
      <c r="C116" s="496">
        <f>IF(D94="","-",+C115+1)</f>
        <v>2026</v>
      </c>
      <c r="D116" s="350">
        <f>IF(F115+SUM(E$100:E115)=D$93,F115,D$93-SUM(E$100:E115))</f>
        <v>578814.54744324496</v>
      </c>
      <c r="E116" s="510">
        <f>IF(+J97&lt;F115,J97,D116)</f>
        <v>35206.333571428571</v>
      </c>
      <c r="F116" s="511">
        <f t="shared" si="28"/>
        <v>543608.21387181641</v>
      </c>
      <c r="G116" s="511">
        <f t="shared" si="29"/>
        <v>561211.38065753062</v>
      </c>
      <c r="H116" s="646">
        <f t="shared" si="31"/>
        <v>94926.800249149645</v>
      </c>
      <c r="I116" s="573">
        <f t="shared" si="30"/>
        <v>94926.800249149645</v>
      </c>
      <c r="J116" s="505">
        <f t="shared" si="19"/>
        <v>0</v>
      </c>
      <c r="K116" s="505"/>
      <c r="L116" s="513"/>
      <c r="M116" s="505">
        <f t="shared" si="24"/>
        <v>0</v>
      </c>
      <c r="N116" s="513"/>
      <c r="O116" s="505">
        <f t="shared" si="22"/>
        <v>0</v>
      </c>
      <c r="P116" s="505">
        <f t="shared" si="23"/>
        <v>0</v>
      </c>
      <c r="Q116" s="244"/>
      <c r="R116" s="244"/>
      <c r="S116" s="244"/>
      <c r="T116" s="244"/>
      <c r="U116" s="244"/>
    </row>
    <row r="117" spans="2:21" ht="12.5">
      <c r="B117" s="145" t="str">
        <f t="shared" si="18"/>
        <v/>
      </c>
      <c r="C117" s="496">
        <f>IF(D94="","-",+C116+1)</f>
        <v>2027</v>
      </c>
      <c r="D117" s="350">
        <f>IF(F116+SUM(E$100:E116)=D$93,F116,D$93-SUM(E$100:E116))</f>
        <v>543608.21387181641</v>
      </c>
      <c r="E117" s="510">
        <f>IF(+J97&lt;F116,J97,D117)</f>
        <v>35206.333571428571</v>
      </c>
      <c r="F117" s="511">
        <f t="shared" si="28"/>
        <v>508401.88030038786</v>
      </c>
      <c r="G117" s="511">
        <f t="shared" si="29"/>
        <v>526005.04708610219</v>
      </c>
      <c r="H117" s="646">
        <f t="shared" si="31"/>
        <v>91180.371107898391</v>
      </c>
      <c r="I117" s="573">
        <f t="shared" si="30"/>
        <v>91180.371107898391</v>
      </c>
      <c r="J117" s="505">
        <f t="shared" si="19"/>
        <v>0</v>
      </c>
      <c r="K117" s="505"/>
      <c r="L117" s="513"/>
      <c r="M117" s="505">
        <f t="shared" si="24"/>
        <v>0</v>
      </c>
      <c r="N117" s="513"/>
      <c r="O117" s="505">
        <f t="shared" si="22"/>
        <v>0</v>
      </c>
      <c r="P117" s="505">
        <f t="shared" si="23"/>
        <v>0</v>
      </c>
      <c r="Q117" s="244"/>
      <c r="R117" s="244"/>
      <c r="S117" s="244"/>
      <c r="T117" s="244"/>
      <c r="U117" s="244"/>
    </row>
    <row r="118" spans="2:21" ht="12.5">
      <c r="B118" s="145" t="str">
        <f t="shared" si="18"/>
        <v/>
      </c>
      <c r="C118" s="496">
        <f>IF(D94="","-",+C117+1)</f>
        <v>2028</v>
      </c>
      <c r="D118" s="350">
        <f>IF(F117+SUM(E$100:E117)=D$93,F117,D$93-SUM(E$100:E117))</f>
        <v>508401.88030038786</v>
      </c>
      <c r="E118" s="510">
        <f>IF(+J97&lt;F117,J97,D118)</f>
        <v>35206.333571428571</v>
      </c>
      <c r="F118" s="511">
        <f t="shared" si="28"/>
        <v>473195.54672895931</v>
      </c>
      <c r="G118" s="511">
        <f t="shared" si="29"/>
        <v>490798.71351467358</v>
      </c>
      <c r="H118" s="646">
        <f t="shared" si="31"/>
        <v>87433.941966647122</v>
      </c>
      <c r="I118" s="573">
        <f t="shared" si="30"/>
        <v>87433.941966647122</v>
      </c>
      <c r="J118" s="505">
        <f t="shared" si="19"/>
        <v>0</v>
      </c>
      <c r="K118" s="505"/>
      <c r="L118" s="513"/>
      <c r="M118" s="505">
        <f t="shared" si="24"/>
        <v>0</v>
      </c>
      <c r="N118" s="513"/>
      <c r="O118" s="505">
        <f t="shared" si="22"/>
        <v>0</v>
      </c>
      <c r="P118" s="505">
        <f t="shared" si="23"/>
        <v>0</v>
      </c>
      <c r="Q118" s="244"/>
      <c r="R118" s="244"/>
      <c r="S118" s="244"/>
      <c r="T118" s="244"/>
      <c r="U118" s="244"/>
    </row>
    <row r="119" spans="2:21" ht="12.5">
      <c r="B119" s="145" t="str">
        <f t="shared" si="18"/>
        <v/>
      </c>
      <c r="C119" s="496">
        <f>IF(D94="","-",+C118+1)</f>
        <v>2029</v>
      </c>
      <c r="D119" s="350">
        <f>IF(F118+SUM(E$100:E118)=D$93,F118,D$93-SUM(E$100:E118))</f>
        <v>473195.54672895931</v>
      </c>
      <c r="E119" s="510">
        <f>IF(+J97&lt;F118,J97,D119)</f>
        <v>35206.333571428571</v>
      </c>
      <c r="F119" s="511">
        <f t="shared" si="28"/>
        <v>437989.21315753076</v>
      </c>
      <c r="G119" s="511">
        <f t="shared" si="29"/>
        <v>455592.37994324503</v>
      </c>
      <c r="H119" s="646">
        <f t="shared" si="31"/>
        <v>83687.512825395854</v>
      </c>
      <c r="I119" s="573">
        <f t="shared" si="30"/>
        <v>83687.512825395854</v>
      </c>
      <c r="J119" s="505">
        <f t="shared" si="19"/>
        <v>0</v>
      </c>
      <c r="K119" s="505"/>
      <c r="L119" s="513"/>
      <c r="M119" s="505">
        <f t="shared" si="24"/>
        <v>0</v>
      </c>
      <c r="N119" s="513"/>
      <c r="O119" s="505">
        <f t="shared" si="22"/>
        <v>0</v>
      </c>
      <c r="P119" s="505">
        <f t="shared" si="23"/>
        <v>0</v>
      </c>
      <c r="Q119" s="244"/>
      <c r="R119" s="244"/>
      <c r="S119" s="244"/>
      <c r="T119" s="244"/>
      <c r="U119" s="244"/>
    </row>
    <row r="120" spans="2:21" ht="12.5">
      <c r="B120" s="145" t="str">
        <f t="shared" si="18"/>
        <v/>
      </c>
      <c r="C120" s="496">
        <f>IF(D94="","-",+C119+1)</f>
        <v>2030</v>
      </c>
      <c r="D120" s="350">
        <f>IF(F119+SUM(E$100:E119)=D$93,F119,D$93-SUM(E$100:E119))</f>
        <v>437989.21315753076</v>
      </c>
      <c r="E120" s="510">
        <f>IF(+J97&lt;F119,J97,D120)</f>
        <v>35206.333571428571</v>
      </c>
      <c r="F120" s="511">
        <f t="shared" si="28"/>
        <v>402782.87958610221</v>
      </c>
      <c r="G120" s="511">
        <f t="shared" si="29"/>
        <v>420386.04637181648</v>
      </c>
      <c r="H120" s="646">
        <f t="shared" si="31"/>
        <v>79941.083684144571</v>
      </c>
      <c r="I120" s="573">
        <f t="shared" si="30"/>
        <v>79941.083684144571</v>
      </c>
      <c r="J120" s="505">
        <f t="shared" si="19"/>
        <v>0</v>
      </c>
      <c r="K120" s="505"/>
      <c r="L120" s="513"/>
      <c r="M120" s="505">
        <f t="shared" si="24"/>
        <v>0</v>
      </c>
      <c r="N120" s="513"/>
      <c r="O120" s="505">
        <f t="shared" si="22"/>
        <v>0</v>
      </c>
      <c r="P120" s="505">
        <f t="shared" si="23"/>
        <v>0</v>
      </c>
      <c r="Q120" s="244"/>
      <c r="R120" s="244"/>
      <c r="S120" s="244"/>
      <c r="T120" s="244"/>
      <c r="U120" s="244"/>
    </row>
    <row r="121" spans="2:21" ht="12.5">
      <c r="B121" s="145" t="str">
        <f t="shared" si="18"/>
        <v/>
      </c>
      <c r="C121" s="496">
        <f>IF(D94="","-",+C120+1)</f>
        <v>2031</v>
      </c>
      <c r="D121" s="350">
        <f>IF(F120+SUM(E$100:E120)=D$93,F120,D$93-SUM(E$100:E120))</f>
        <v>402782.87958610221</v>
      </c>
      <c r="E121" s="510">
        <f>IF(+J97&lt;F120,J97,D121)</f>
        <v>35206.333571428571</v>
      </c>
      <c r="F121" s="511">
        <f t="shared" si="28"/>
        <v>367576.54601467366</v>
      </c>
      <c r="G121" s="511">
        <f t="shared" si="29"/>
        <v>385179.71280038793</v>
      </c>
      <c r="H121" s="646">
        <f t="shared" si="31"/>
        <v>76194.654542893317</v>
      </c>
      <c r="I121" s="573">
        <f t="shared" si="30"/>
        <v>76194.654542893317</v>
      </c>
      <c r="J121" s="505">
        <f t="shared" si="19"/>
        <v>0</v>
      </c>
      <c r="K121" s="505"/>
      <c r="L121" s="513"/>
      <c r="M121" s="505">
        <f t="shared" si="24"/>
        <v>0</v>
      </c>
      <c r="N121" s="513"/>
      <c r="O121" s="505">
        <f t="shared" si="22"/>
        <v>0</v>
      </c>
      <c r="P121" s="505">
        <f t="shared" si="23"/>
        <v>0</v>
      </c>
      <c r="Q121" s="244"/>
      <c r="R121" s="244"/>
      <c r="S121" s="244"/>
      <c r="T121" s="244"/>
      <c r="U121" s="244"/>
    </row>
    <row r="122" spans="2:21" ht="12.5">
      <c r="B122" s="145" t="str">
        <f t="shared" si="18"/>
        <v/>
      </c>
      <c r="C122" s="496">
        <f>IF(D94="","-",+C121+1)</f>
        <v>2032</v>
      </c>
      <c r="D122" s="350">
        <f>IF(F121+SUM(E$100:E121)=D$93,F121,D$93-SUM(E$100:E121))</f>
        <v>367576.54601467366</v>
      </c>
      <c r="E122" s="510">
        <f>IF(+J97&lt;F121,J97,D122)</f>
        <v>35206.333571428571</v>
      </c>
      <c r="F122" s="511">
        <f t="shared" si="28"/>
        <v>332370.21244324511</v>
      </c>
      <c r="G122" s="511">
        <f t="shared" si="29"/>
        <v>349973.37922895938</v>
      </c>
      <c r="H122" s="646">
        <f t="shared" si="31"/>
        <v>72448.225401642034</v>
      </c>
      <c r="I122" s="573">
        <f t="shared" si="30"/>
        <v>72448.225401642034</v>
      </c>
      <c r="J122" s="505">
        <f t="shared" si="19"/>
        <v>0</v>
      </c>
      <c r="K122" s="505"/>
      <c r="L122" s="513"/>
      <c r="M122" s="505">
        <f t="shared" si="24"/>
        <v>0</v>
      </c>
      <c r="N122" s="513"/>
      <c r="O122" s="505">
        <f t="shared" si="22"/>
        <v>0</v>
      </c>
      <c r="P122" s="505">
        <f t="shared" si="23"/>
        <v>0</v>
      </c>
      <c r="Q122" s="244"/>
      <c r="R122" s="244"/>
      <c r="S122" s="244"/>
      <c r="T122" s="244"/>
      <c r="U122" s="244"/>
    </row>
    <row r="123" spans="2:21" ht="12.5">
      <c r="B123" s="145" t="str">
        <f t="shared" si="18"/>
        <v/>
      </c>
      <c r="C123" s="496">
        <f>IF(D94="","-",+C122+1)</f>
        <v>2033</v>
      </c>
      <c r="D123" s="350">
        <f>IF(F122+SUM(E$100:E122)=D$93,F122,D$93-SUM(E$100:E122))</f>
        <v>332370.21244324511</v>
      </c>
      <c r="E123" s="510">
        <f>IF(+J97&lt;F122,J97,D123)</f>
        <v>35206.333571428571</v>
      </c>
      <c r="F123" s="511">
        <f t="shared" si="28"/>
        <v>297163.87887181656</v>
      </c>
      <c r="G123" s="511">
        <f t="shared" si="29"/>
        <v>314767.04565753083</v>
      </c>
      <c r="H123" s="646">
        <f t="shared" si="31"/>
        <v>68701.79626039078</v>
      </c>
      <c r="I123" s="573">
        <f t="shared" si="30"/>
        <v>68701.79626039078</v>
      </c>
      <c r="J123" s="505">
        <f t="shared" si="19"/>
        <v>0</v>
      </c>
      <c r="K123" s="505"/>
      <c r="L123" s="513"/>
      <c r="M123" s="505">
        <f t="shared" si="24"/>
        <v>0</v>
      </c>
      <c r="N123" s="513"/>
      <c r="O123" s="505">
        <f t="shared" si="22"/>
        <v>0</v>
      </c>
      <c r="P123" s="505">
        <f t="shared" si="23"/>
        <v>0</v>
      </c>
      <c r="Q123" s="244"/>
      <c r="R123" s="244"/>
      <c r="S123" s="244"/>
      <c r="T123" s="244"/>
      <c r="U123" s="244"/>
    </row>
    <row r="124" spans="2:21" ht="12.5">
      <c r="B124" s="145" t="str">
        <f t="shared" si="18"/>
        <v/>
      </c>
      <c r="C124" s="496">
        <f>IF(D94="","-",+C123+1)</f>
        <v>2034</v>
      </c>
      <c r="D124" s="350">
        <f>IF(F123+SUM(E$100:E123)=D$93,F123,D$93-SUM(E$100:E123))</f>
        <v>297163.87887181656</v>
      </c>
      <c r="E124" s="510">
        <f>IF(+J97&lt;F123,J97,D124)</f>
        <v>35206.333571428571</v>
      </c>
      <c r="F124" s="511">
        <f t="shared" si="28"/>
        <v>261957.54530038798</v>
      </c>
      <c r="G124" s="511">
        <f t="shared" si="29"/>
        <v>279560.71208610228</v>
      </c>
      <c r="H124" s="646">
        <f t="shared" si="31"/>
        <v>64955.367119139504</v>
      </c>
      <c r="I124" s="573">
        <f t="shared" si="30"/>
        <v>64955.367119139504</v>
      </c>
      <c r="J124" s="505">
        <f t="shared" si="19"/>
        <v>0</v>
      </c>
      <c r="K124" s="505"/>
      <c r="L124" s="513"/>
      <c r="M124" s="505">
        <f t="shared" si="24"/>
        <v>0</v>
      </c>
      <c r="N124" s="513"/>
      <c r="O124" s="505">
        <f t="shared" si="22"/>
        <v>0</v>
      </c>
      <c r="P124" s="505">
        <f t="shared" si="23"/>
        <v>0</v>
      </c>
      <c r="Q124" s="244"/>
      <c r="R124" s="244"/>
      <c r="S124" s="244"/>
      <c r="T124" s="244"/>
      <c r="U124" s="244"/>
    </row>
    <row r="125" spans="2:21" ht="12.5">
      <c r="B125" s="145" t="str">
        <f t="shared" si="18"/>
        <v/>
      </c>
      <c r="C125" s="496">
        <f>IF(D94="","-",+C124+1)</f>
        <v>2035</v>
      </c>
      <c r="D125" s="350">
        <f>IF(F124+SUM(E$100:E124)=D$93,F124,D$93-SUM(E$100:E124))</f>
        <v>261957.54530038798</v>
      </c>
      <c r="E125" s="510">
        <f>IF(+J97&lt;F124,J97,D125)</f>
        <v>35206.333571428571</v>
      </c>
      <c r="F125" s="511">
        <f t="shared" si="28"/>
        <v>226751.2117289594</v>
      </c>
      <c r="G125" s="511">
        <f t="shared" si="29"/>
        <v>244354.37851467368</v>
      </c>
      <c r="H125" s="646">
        <f t="shared" si="31"/>
        <v>61208.937977888228</v>
      </c>
      <c r="I125" s="573">
        <f t="shared" si="30"/>
        <v>61208.937977888228</v>
      </c>
      <c r="J125" s="505">
        <f t="shared" si="19"/>
        <v>0</v>
      </c>
      <c r="K125" s="505"/>
      <c r="L125" s="513"/>
      <c r="M125" s="505">
        <f t="shared" si="24"/>
        <v>0</v>
      </c>
      <c r="N125" s="513"/>
      <c r="O125" s="505">
        <f t="shared" si="22"/>
        <v>0</v>
      </c>
      <c r="P125" s="505">
        <f t="shared" si="23"/>
        <v>0</v>
      </c>
      <c r="Q125" s="244"/>
      <c r="R125" s="244"/>
      <c r="S125" s="244"/>
      <c r="T125" s="244"/>
      <c r="U125" s="244"/>
    </row>
    <row r="126" spans="2:21" ht="12.5">
      <c r="B126" s="145" t="str">
        <f t="shared" si="18"/>
        <v/>
      </c>
      <c r="C126" s="496">
        <f>IF(D94="","-",+C125+1)</f>
        <v>2036</v>
      </c>
      <c r="D126" s="350">
        <f>IF(F125+SUM(E$100:E125)=D$93,F125,D$93-SUM(E$100:E125))</f>
        <v>226751.2117289594</v>
      </c>
      <c r="E126" s="510">
        <f>IF(+J97&lt;F125,J97,D126)</f>
        <v>35206.333571428571</v>
      </c>
      <c r="F126" s="511">
        <f t="shared" si="28"/>
        <v>191544.87815753082</v>
      </c>
      <c r="G126" s="511">
        <f t="shared" si="29"/>
        <v>209148.04494324513</v>
      </c>
      <c r="H126" s="646">
        <f t="shared" si="31"/>
        <v>57462.50883663696</v>
      </c>
      <c r="I126" s="573">
        <f t="shared" si="30"/>
        <v>57462.50883663696</v>
      </c>
      <c r="J126" s="505">
        <f t="shared" si="19"/>
        <v>0</v>
      </c>
      <c r="K126" s="505"/>
      <c r="L126" s="513"/>
      <c r="M126" s="505">
        <f t="shared" si="24"/>
        <v>0</v>
      </c>
      <c r="N126" s="513"/>
      <c r="O126" s="505">
        <f t="shared" si="22"/>
        <v>0</v>
      </c>
      <c r="P126" s="505">
        <f t="shared" si="23"/>
        <v>0</v>
      </c>
      <c r="Q126" s="244"/>
      <c r="R126" s="244"/>
      <c r="S126" s="244"/>
      <c r="T126" s="244"/>
      <c r="U126" s="244"/>
    </row>
    <row r="127" spans="2:21" ht="12.5">
      <c r="B127" s="145" t="str">
        <f t="shared" si="18"/>
        <v/>
      </c>
      <c r="C127" s="496">
        <f>IF(D94="","-",+C126+1)</f>
        <v>2037</v>
      </c>
      <c r="D127" s="350">
        <f>IF(F126+SUM(E$100:E126)=D$93,F126,D$93-SUM(E$100:E126))</f>
        <v>191544.87815753082</v>
      </c>
      <c r="E127" s="510">
        <f>IF(+J97&lt;F126,J97,D127)</f>
        <v>35206.333571428571</v>
      </c>
      <c r="F127" s="511">
        <f t="shared" si="28"/>
        <v>156338.54458610225</v>
      </c>
      <c r="G127" s="511">
        <f t="shared" si="29"/>
        <v>173941.71137181652</v>
      </c>
      <c r="H127" s="646">
        <f t="shared" si="31"/>
        <v>53716.079695385684</v>
      </c>
      <c r="I127" s="573">
        <f t="shared" si="30"/>
        <v>53716.079695385684</v>
      </c>
      <c r="J127" s="505">
        <f t="shared" si="19"/>
        <v>0</v>
      </c>
      <c r="K127" s="505"/>
      <c r="L127" s="513"/>
      <c r="M127" s="505">
        <f t="shared" si="24"/>
        <v>0</v>
      </c>
      <c r="N127" s="513"/>
      <c r="O127" s="505">
        <f t="shared" si="22"/>
        <v>0</v>
      </c>
      <c r="P127" s="505">
        <f t="shared" si="23"/>
        <v>0</v>
      </c>
      <c r="Q127" s="244"/>
      <c r="R127" s="244"/>
      <c r="S127" s="244"/>
      <c r="T127" s="244"/>
      <c r="U127" s="244"/>
    </row>
    <row r="128" spans="2:21" ht="12.5">
      <c r="B128" s="145" t="str">
        <f t="shared" si="18"/>
        <v/>
      </c>
      <c r="C128" s="496">
        <f>IF(D94="","-",+C127+1)</f>
        <v>2038</v>
      </c>
      <c r="D128" s="350">
        <f>IF(F127+SUM(E$100:E127)=D$93,F127,D$93-SUM(E$100:E127))</f>
        <v>156338.54458610225</v>
      </c>
      <c r="E128" s="510">
        <f>IF(+J97&lt;F127,J97,D128)</f>
        <v>35206.333571428571</v>
      </c>
      <c r="F128" s="511">
        <f t="shared" si="28"/>
        <v>121132.21101467367</v>
      </c>
      <c r="G128" s="511">
        <f t="shared" si="29"/>
        <v>138735.37780038797</v>
      </c>
      <c r="H128" s="646">
        <f t="shared" si="31"/>
        <v>49969.650554134416</v>
      </c>
      <c r="I128" s="573">
        <f t="shared" si="30"/>
        <v>49969.650554134416</v>
      </c>
      <c r="J128" s="505">
        <f t="shared" si="19"/>
        <v>0</v>
      </c>
      <c r="K128" s="505"/>
      <c r="L128" s="513"/>
      <c r="M128" s="505">
        <f t="shared" si="24"/>
        <v>0</v>
      </c>
      <c r="N128" s="513"/>
      <c r="O128" s="505">
        <f t="shared" si="22"/>
        <v>0</v>
      </c>
      <c r="P128" s="505">
        <f t="shared" si="23"/>
        <v>0</v>
      </c>
      <c r="Q128" s="244"/>
      <c r="R128" s="244"/>
      <c r="S128" s="244"/>
      <c r="T128" s="244"/>
      <c r="U128" s="244"/>
    </row>
    <row r="129" spans="2:21" ht="12.5">
      <c r="B129" s="145" t="str">
        <f t="shared" si="18"/>
        <v/>
      </c>
      <c r="C129" s="496">
        <f>IF(D94="","-",+C128+1)</f>
        <v>2039</v>
      </c>
      <c r="D129" s="350">
        <f>IF(F128+SUM(E$100:E128)=D$93,F128,D$93-SUM(E$100:E128))</f>
        <v>121132.21101467367</v>
      </c>
      <c r="E129" s="510">
        <f>IF(+J97&lt;F128,J97,D129)</f>
        <v>35206.333571428571</v>
      </c>
      <c r="F129" s="511">
        <f t="shared" si="28"/>
        <v>85925.877443245088</v>
      </c>
      <c r="G129" s="511">
        <f t="shared" si="29"/>
        <v>103529.04422895938</v>
      </c>
      <c r="H129" s="646">
        <f t="shared" si="31"/>
        <v>46223.22141288314</v>
      </c>
      <c r="I129" s="573">
        <f t="shared" si="30"/>
        <v>46223.22141288314</v>
      </c>
      <c r="J129" s="505">
        <f t="shared" si="19"/>
        <v>0</v>
      </c>
      <c r="K129" s="505"/>
      <c r="L129" s="513"/>
      <c r="M129" s="505">
        <f t="shared" si="24"/>
        <v>0</v>
      </c>
      <c r="N129" s="513"/>
      <c r="O129" s="505">
        <f t="shared" si="22"/>
        <v>0</v>
      </c>
      <c r="P129" s="505">
        <f t="shared" si="23"/>
        <v>0</v>
      </c>
      <c r="Q129" s="244"/>
      <c r="R129" s="244"/>
      <c r="S129" s="244"/>
      <c r="T129" s="244"/>
      <c r="U129" s="244"/>
    </row>
    <row r="130" spans="2:21" ht="12.5">
      <c r="B130" s="145" t="str">
        <f t="shared" si="18"/>
        <v/>
      </c>
      <c r="C130" s="496">
        <f>IF(D94="","-",+C129+1)</f>
        <v>2040</v>
      </c>
      <c r="D130" s="350">
        <f>IF(F129+SUM(E$100:E129)=D$93,F129,D$93-SUM(E$100:E129))</f>
        <v>85925.877443245088</v>
      </c>
      <c r="E130" s="510">
        <f>IF(+J97&lt;F129,J97,D130)</f>
        <v>35206.333571428571</v>
      </c>
      <c r="F130" s="511">
        <f t="shared" si="28"/>
        <v>50719.543871816517</v>
      </c>
      <c r="G130" s="511">
        <f t="shared" si="29"/>
        <v>68322.710657530799</v>
      </c>
      <c r="H130" s="646">
        <f t="shared" si="31"/>
        <v>42476.792271631864</v>
      </c>
      <c r="I130" s="573">
        <f t="shared" si="30"/>
        <v>42476.792271631864</v>
      </c>
      <c r="J130" s="505">
        <f t="shared" si="19"/>
        <v>0</v>
      </c>
      <c r="K130" s="505"/>
      <c r="L130" s="513"/>
      <c r="M130" s="505">
        <f t="shared" si="24"/>
        <v>0</v>
      </c>
      <c r="N130" s="513"/>
      <c r="O130" s="505">
        <f t="shared" si="22"/>
        <v>0</v>
      </c>
      <c r="P130" s="505">
        <f t="shared" si="23"/>
        <v>0</v>
      </c>
      <c r="Q130" s="244"/>
      <c r="R130" s="244"/>
      <c r="S130" s="244"/>
      <c r="T130" s="244"/>
      <c r="U130" s="244"/>
    </row>
    <row r="131" spans="2:21" ht="12.5">
      <c r="B131" s="145" t="str">
        <f t="shared" si="18"/>
        <v/>
      </c>
      <c r="C131" s="496">
        <f>IF(D94="","-",+C130+1)</f>
        <v>2041</v>
      </c>
      <c r="D131" s="350">
        <f>IF(F130+SUM(E$100:E130)=D$93,F130,D$93-SUM(E$100:E130))</f>
        <v>50719.543871816517</v>
      </c>
      <c r="E131" s="510">
        <f>IF(+J97&lt;F130,J97,D131)</f>
        <v>35206.333571428571</v>
      </c>
      <c r="F131" s="511">
        <f t="shared" si="28"/>
        <v>15513.210300387946</v>
      </c>
      <c r="G131" s="511">
        <f t="shared" si="29"/>
        <v>33116.377086102235</v>
      </c>
      <c r="H131" s="646">
        <f t="shared" si="31"/>
        <v>38730.363130380596</v>
      </c>
      <c r="I131" s="573">
        <f t="shared" si="30"/>
        <v>38730.363130380596</v>
      </c>
      <c r="J131" s="505">
        <f t="shared" si="19"/>
        <v>0</v>
      </c>
      <c r="K131" s="505"/>
      <c r="L131" s="513"/>
      <c r="M131" s="505">
        <f t="shared" si="24"/>
        <v>0</v>
      </c>
      <c r="N131" s="513"/>
      <c r="O131" s="505">
        <f t="shared" si="22"/>
        <v>0</v>
      </c>
      <c r="P131" s="505">
        <f t="shared" si="23"/>
        <v>0</v>
      </c>
      <c r="Q131" s="244"/>
      <c r="R131" s="244"/>
      <c r="S131" s="244"/>
      <c r="T131" s="244"/>
      <c r="U131" s="244"/>
    </row>
    <row r="132" spans="2:21" ht="12.5">
      <c r="B132" s="145" t="str">
        <f t="shared" si="18"/>
        <v/>
      </c>
      <c r="C132" s="496">
        <f>IF(D94="","-",+C131+1)</f>
        <v>2042</v>
      </c>
      <c r="D132" s="350">
        <f>IF(F131+SUM(E$100:E131)=D$93,F131,D$93-SUM(E$100:E131))</f>
        <v>15513.210300387946</v>
      </c>
      <c r="E132" s="510">
        <f>IF(+J97&lt;F131,J97,D132)</f>
        <v>15513.210300387946</v>
      </c>
      <c r="F132" s="511">
        <f t="shared" ref="F132:F155" si="32">+D132-E132</f>
        <v>0</v>
      </c>
      <c r="G132" s="511">
        <f t="shared" ref="G132:G155" si="33">+(F132+D132)/2</f>
        <v>7756.6051501939728</v>
      </c>
      <c r="H132" s="646">
        <f t="shared" si="31"/>
        <v>16338.617794551139</v>
      </c>
      <c r="I132" s="573">
        <f t="shared" si="30"/>
        <v>16338.617794551139</v>
      </c>
      <c r="J132" s="505">
        <f t="shared" ref="J132:J155" si="34">+I132-H132</f>
        <v>0</v>
      </c>
      <c r="K132" s="505"/>
      <c r="L132" s="513"/>
      <c r="M132" s="505">
        <f t="shared" ref="M132:M155" si="35">IF(L132&lt;&gt;0,+H132-L132,0)</f>
        <v>0</v>
      </c>
      <c r="N132" s="513"/>
      <c r="O132" s="505">
        <f t="shared" ref="O132:O155" si="36">IF(N132&lt;&gt;0,+I132-N132,0)</f>
        <v>0</v>
      </c>
      <c r="P132" s="505">
        <f t="shared" ref="P132:P155" si="37">+O132-M132</f>
        <v>0</v>
      </c>
      <c r="Q132" s="244"/>
      <c r="R132" s="244"/>
      <c r="S132" s="244"/>
      <c r="T132" s="244"/>
      <c r="U132" s="244"/>
    </row>
    <row r="133" spans="2:21" ht="12.5">
      <c r="B133" s="145" t="str">
        <f t="shared" si="18"/>
        <v/>
      </c>
      <c r="C133" s="496">
        <f>IF(D94="","-",+C132+1)</f>
        <v>2043</v>
      </c>
      <c r="D133" s="350">
        <f>IF(F132+SUM(E$100:E132)=D$93,F132,D$93-SUM(E$100:E132))</f>
        <v>0</v>
      </c>
      <c r="E133" s="510">
        <f>IF(+J97&lt;F132,J97,D133)</f>
        <v>0</v>
      </c>
      <c r="F133" s="511">
        <f t="shared" si="32"/>
        <v>0</v>
      </c>
      <c r="G133" s="511">
        <f t="shared" si="33"/>
        <v>0</v>
      </c>
      <c r="H133" s="646">
        <f t="shared" si="31"/>
        <v>0</v>
      </c>
      <c r="I133" s="573">
        <f t="shared" si="30"/>
        <v>0</v>
      </c>
      <c r="J133" s="505">
        <f t="shared" si="34"/>
        <v>0</v>
      </c>
      <c r="K133" s="505"/>
      <c r="L133" s="513"/>
      <c r="M133" s="505">
        <f t="shared" si="35"/>
        <v>0</v>
      </c>
      <c r="N133" s="513"/>
      <c r="O133" s="505">
        <f t="shared" si="36"/>
        <v>0</v>
      </c>
      <c r="P133" s="505">
        <f t="shared" si="37"/>
        <v>0</v>
      </c>
      <c r="Q133" s="244"/>
      <c r="R133" s="244"/>
      <c r="S133" s="244"/>
      <c r="T133" s="244"/>
      <c r="U133" s="244"/>
    </row>
    <row r="134" spans="2:21" ht="12.5">
      <c r="B134" s="145" t="str">
        <f t="shared" si="18"/>
        <v/>
      </c>
      <c r="C134" s="496">
        <f>IF(D94="","-",+C133+1)</f>
        <v>2044</v>
      </c>
      <c r="D134" s="350">
        <f>IF(F133+SUM(E$100:E133)=D$93,F133,D$93-SUM(E$100:E133))</f>
        <v>0</v>
      </c>
      <c r="E134" s="510">
        <f>IF(+J97&lt;F133,J97,D134)</f>
        <v>0</v>
      </c>
      <c r="F134" s="511">
        <f t="shared" si="32"/>
        <v>0</v>
      </c>
      <c r="G134" s="511">
        <f t="shared" si="33"/>
        <v>0</v>
      </c>
      <c r="H134" s="646">
        <f t="shared" si="31"/>
        <v>0</v>
      </c>
      <c r="I134" s="573">
        <f t="shared" si="30"/>
        <v>0</v>
      </c>
      <c r="J134" s="505">
        <f t="shared" si="34"/>
        <v>0</v>
      </c>
      <c r="K134" s="505"/>
      <c r="L134" s="513"/>
      <c r="M134" s="505">
        <f t="shared" si="35"/>
        <v>0</v>
      </c>
      <c r="N134" s="513"/>
      <c r="O134" s="505">
        <f t="shared" si="36"/>
        <v>0</v>
      </c>
      <c r="P134" s="505">
        <f t="shared" si="37"/>
        <v>0</v>
      </c>
      <c r="Q134" s="244"/>
      <c r="R134" s="244"/>
      <c r="S134" s="244"/>
      <c r="T134" s="244"/>
      <c r="U134" s="244"/>
    </row>
    <row r="135" spans="2:21" ht="12.5">
      <c r="B135" s="145" t="str">
        <f t="shared" si="18"/>
        <v/>
      </c>
      <c r="C135" s="496">
        <f>IF(D94="","-",+C134+1)</f>
        <v>2045</v>
      </c>
      <c r="D135" s="350">
        <f>IF(F134+SUM(E$100:E134)=D$93,F134,D$93-SUM(E$100:E134))</f>
        <v>0</v>
      </c>
      <c r="E135" s="510">
        <f>IF(+J97&lt;F134,J97,D135)</f>
        <v>0</v>
      </c>
      <c r="F135" s="511">
        <f t="shared" si="32"/>
        <v>0</v>
      </c>
      <c r="G135" s="511">
        <f t="shared" si="33"/>
        <v>0</v>
      </c>
      <c r="H135" s="646">
        <f t="shared" si="31"/>
        <v>0</v>
      </c>
      <c r="I135" s="573">
        <f t="shared" si="30"/>
        <v>0</v>
      </c>
      <c r="J135" s="505">
        <f t="shared" si="34"/>
        <v>0</v>
      </c>
      <c r="K135" s="505"/>
      <c r="L135" s="513"/>
      <c r="M135" s="505">
        <f t="shared" si="35"/>
        <v>0</v>
      </c>
      <c r="N135" s="513"/>
      <c r="O135" s="505">
        <f t="shared" si="36"/>
        <v>0</v>
      </c>
      <c r="P135" s="505">
        <f t="shared" si="37"/>
        <v>0</v>
      </c>
      <c r="Q135" s="244"/>
      <c r="R135" s="244"/>
      <c r="S135" s="244"/>
      <c r="T135" s="244"/>
      <c r="U135" s="244"/>
    </row>
    <row r="136" spans="2:21" ht="12.5">
      <c r="B136" s="145" t="str">
        <f t="shared" si="18"/>
        <v/>
      </c>
      <c r="C136" s="496">
        <f>IF(D94="","-",+C135+1)</f>
        <v>2046</v>
      </c>
      <c r="D136" s="350">
        <f>IF(F135+SUM(E$100:E135)=D$93,F135,D$93-SUM(E$100:E135))</f>
        <v>0</v>
      </c>
      <c r="E136" s="510">
        <f>IF(+J97&lt;F135,J97,D136)</f>
        <v>0</v>
      </c>
      <c r="F136" s="511">
        <f t="shared" si="32"/>
        <v>0</v>
      </c>
      <c r="G136" s="511">
        <f t="shared" si="33"/>
        <v>0</v>
      </c>
      <c r="H136" s="646">
        <f t="shared" si="31"/>
        <v>0</v>
      </c>
      <c r="I136" s="573">
        <f t="shared" si="30"/>
        <v>0</v>
      </c>
      <c r="J136" s="505">
        <f t="shared" si="34"/>
        <v>0</v>
      </c>
      <c r="K136" s="505"/>
      <c r="L136" s="513"/>
      <c r="M136" s="505">
        <f t="shared" si="35"/>
        <v>0</v>
      </c>
      <c r="N136" s="513"/>
      <c r="O136" s="505">
        <f t="shared" si="36"/>
        <v>0</v>
      </c>
      <c r="P136" s="505">
        <f t="shared" si="37"/>
        <v>0</v>
      </c>
      <c r="Q136" s="244"/>
      <c r="R136" s="244"/>
      <c r="S136" s="244"/>
      <c r="T136" s="244"/>
      <c r="U136" s="244"/>
    </row>
    <row r="137" spans="2:21" ht="12.5">
      <c r="B137" s="145" t="str">
        <f t="shared" si="18"/>
        <v/>
      </c>
      <c r="C137" s="496">
        <f>IF(D94="","-",+C136+1)</f>
        <v>2047</v>
      </c>
      <c r="D137" s="350">
        <f>IF(F136+SUM(E$100:E136)=D$93,F136,D$93-SUM(E$100:E136))</f>
        <v>0</v>
      </c>
      <c r="E137" s="510">
        <f>IF(+J97&lt;F136,J97,D137)</f>
        <v>0</v>
      </c>
      <c r="F137" s="511">
        <f t="shared" si="32"/>
        <v>0</v>
      </c>
      <c r="G137" s="511">
        <f t="shared" si="33"/>
        <v>0</v>
      </c>
      <c r="H137" s="646">
        <f t="shared" si="31"/>
        <v>0</v>
      </c>
      <c r="I137" s="573">
        <f t="shared" si="30"/>
        <v>0</v>
      </c>
      <c r="J137" s="505">
        <f t="shared" si="34"/>
        <v>0</v>
      </c>
      <c r="K137" s="505"/>
      <c r="L137" s="513"/>
      <c r="M137" s="505">
        <f t="shared" si="35"/>
        <v>0</v>
      </c>
      <c r="N137" s="513"/>
      <c r="O137" s="505">
        <f t="shared" si="36"/>
        <v>0</v>
      </c>
      <c r="P137" s="505">
        <f t="shared" si="37"/>
        <v>0</v>
      </c>
      <c r="Q137" s="244"/>
      <c r="R137" s="244"/>
      <c r="S137" s="244"/>
      <c r="T137" s="244"/>
      <c r="U137" s="244"/>
    </row>
    <row r="138" spans="2:21" ht="12.5">
      <c r="B138" s="145" t="str">
        <f t="shared" si="18"/>
        <v/>
      </c>
      <c r="C138" s="496">
        <f>IF(D94="","-",+C137+1)</f>
        <v>2048</v>
      </c>
      <c r="D138" s="350">
        <f>IF(F137+SUM(E$100:E137)=D$93,F137,D$93-SUM(E$100:E137))</f>
        <v>0</v>
      </c>
      <c r="E138" s="510">
        <f>IF(+J97&lt;F137,J97,D138)</f>
        <v>0</v>
      </c>
      <c r="F138" s="511">
        <f t="shared" si="32"/>
        <v>0</v>
      </c>
      <c r="G138" s="511">
        <f t="shared" si="33"/>
        <v>0</v>
      </c>
      <c r="H138" s="646">
        <f t="shared" si="31"/>
        <v>0</v>
      </c>
      <c r="I138" s="573">
        <f t="shared" si="30"/>
        <v>0</v>
      </c>
      <c r="J138" s="505">
        <f t="shared" si="34"/>
        <v>0</v>
      </c>
      <c r="K138" s="505"/>
      <c r="L138" s="513"/>
      <c r="M138" s="505">
        <f t="shared" si="35"/>
        <v>0</v>
      </c>
      <c r="N138" s="513"/>
      <c r="O138" s="505">
        <f t="shared" si="36"/>
        <v>0</v>
      </c>
      <c r="P138" s="505">
        <f t="shared" si="37"/>
        <v>0</v>
      </c>
      <c r="Q138" s="244"/>
      <c r="R138" s="244"/>
      <c r="S138" s="244"/>
      <c r="T138" s="244"/>
      <c r="U138" s="244"/>
    </row>
    <row r="139" spans="2:21" ht="12.5">
      <c r="B139" s="145" t="str">
        <f t="shared" si="18"/>
        <v/>
      </c>
      <c r="C139" s="496">
        <f>IF(D94="","-",+C138+1)</f>
        <v>2049</v>
      </c>
      <c r="D139" s="350">
        <f>IF(F138+SUM(E$100:E138)=D$93,F138,D$93-SUM(E$100:E138))</f>
        <v>0</v>
      </c>
      <c r="E139" s="510">
        <f>IF(+J97&lt;F138,J97,D139)</f>
        <v>0</v>
      </c>
      <c r="F139" s="511">
        <f t="shared" si="32"/>
        <v>0</v>
      </c>
      <c r="G139" s="511">
        <f t="shared" si="33"/>
        <v>0</v>
      </c>
      <c r="H139" s="646">
        <f t="shared" si="31"/>
        <v>0</v>
      </c>
      <c r="I139" s="573">
        <f t="shared" si="30"/>
        <v>0</v>
      </c>
      <c r="J139" s="505">
        <f t="shared" si="34"/>
        <v>0</v>
      </c>
      <c r="K139" s="505"/>
      <c r="L139" s="513"/>
      <c r="M139" s="505">
        <f t="shared" si="35"/>
        <v>0</v>
      </c>
      <c r="N139" s="513"/>
      <c r="O139" s="505">
        <f t="shared" si="36"/>
        <v>0</v>
      </c>
      <c r="P139" s="505">
        <f t="shared" si="37"/>
        <v>0</v>
      </c>
      <c r="Q139" s="244"/>
      <c r="R139" s="244"/>
      <c r="S139" s="244"/>
      <c r="T139" s="244"/>
      <c r="U139" s="244"/>
    </row>
    <row r="140" spans="2:21" ht="12.5">
      <c r="B140" s="145" t="str">
        <f t="shared" si="18"/>
        <v/>
      </c>
      <c r="C140" s="496">
        <f>IF(D94="","-",+C139+1)</f>
        <v>2050</v>
      </c>
      <c r="D140" s="350">
        <f>IF(F139+SUM(E$100:E139)=D$93,F139,D$93-SUM(E$100:E139))</f>
        <v>0</v>
      </c>
      <c r="E140" s="510">
        <f>IF(+J97&lt;F139,J97,D140)</f>
        <v>0</v>
      </c>
      <c r="F140" s="511">
        <f t="shared" si="32"/>
        <v>0</v>
      </c>
      <c r="G140" s="511">
        <f t="shared" si="33"/>
        <v>0</v>
      </c>
      <c r="H140" s="646">
        <f t="shared" si="31"/>
        <v>0</v>
      </c>
      <c r="I140" s="573">
        <f t="shared" si="30"/>
        <v>0</v>
      </c>
      <c r="J140" s="505">
        <f t="shared" si="34"/>
        <v>0</v>
      </c>
      <c r="K140" s="505"/>
      <c r="L140" s="513"/>
      <c r="M140" s="505">
        <f t="shared" si="35"/>
        <v>0</v>
      </c>
      <c r="N140" s="513"/>
      <c r="O140" s="505">
        <f t="shared" si="36"/>
        <v>0</v>
      </c>
      <c r="P140" s="505">
        <f t="shared" si="37"/>
        <v>0</v>
      </c>
      <c r="Q140" s="244"/>
      <c r="R140" s="244"/>
      <c r="S140" s="244"/>
      <c r="T140" s="244"/>
      <c r="U140" s="244"/>
    </row>
    <row r="141" spans="2:21" ht="12.5">
      <c r="B141" s="145" t="str">
        <f t="shared" si="18"/>
        <v/>
      </c>
      <c r="C141" s="496">
        <f>IF(D94="","-",+C140+1)</f>
        <v>2051</v>
      </c>
      <c r="D141" s="350">
        <f>IF(F140+SUM(E$100:E140)=D$93,F140,D$93-SUM(E$100:E140))</f>
        <v>0</v>
      </c>
      <c r="E141" s="510">
        <f>IF(+J97&lt;F140,J97,D141)</f>
        <v>0</v>
      </c>
      <c r="F141" s="511">
        <f t="shared" si="32"/>
        <v>0</v>
      </c>
      <c r="G141" s="511">
        <f t="shared" si="33"/>
        <v>0</v>
      </c>
      <c r="H141" s="646">
        <f t="shared" si="31"/>
        <v>0</v>
      </c>
      <c r="I141" s="573">
        <f t="shared" si="30"/>
        <v>0</v>
      </c>
      <c r="J141" s="505">
        <f t="shared" si="34"/>
        <v>0</v>
      </c>
      <c r="K141" s="505"/>
      <c r="L141" s="513"/>
      <c r="M141" s="505">
        <f t="shared" si="35"/>
        <v>0</v>
      </c>
      <c r="N141" s="513"/>
      <c r="O141" s="505">
        <f t="shared" si="36"/>
        <v>0</v>
      </c>
      <c r="P141" s="505">
        <f t="shared" si="37"/>
        <v>0</v>
      </c>
      <c r="Q141" s="244"/>
      <c r="R141" s="244"/>
      <c r="S141" s="244"/>
      <c r="T141" s="244"/>
      <c r="U141" s="244"/>
    </row>
    <row r="142" spans="2:21" ht="12.5">
      <c r="B142" s="145" t="str">
        <f t="shared" si="18"/>
        <v/>
      </c>
      <c r="C142" s="496">
        <f>IF(D94="","-",+C141+1)</f>
        <v>2052</v>
      </c>
      <c r="D142" s="350">
        <f>IF(F141+SUM(E$100:E141)=D$93,F141,D$93-SUM(E$100:E141))</f>
        <v>0</v>
      </c>
      <c r="E142" s="510">
        <f>IF(+J97&lt;F141,J97,D142)</f>
        <v>0</v>
      </c>
      <c r="F142" s="511">
        <f t="shared" si="32"/>
        <v>0</v>
      </c>
      <c r="G142" s="511">
        <f t="shared" si="33"/>
        <v>0</v>
      </c>
      <c r="H142" s="646">
        <f t="shared" si="31"/>
        <v>0</v>
      </c>
      <c r="I142" s="573">
        <f t="shared" si="30"/>
        <v>0</v>
      </c>
      <c r="J142" s="505">
        <f t="shared" si="34"/>
        <v>0</v>
      </c>
      <c r="K142" s="505"/>
      <c r="L142" s="513"/>
      <c r="M142" s="505">
        <f t="shared" si="35"/>
        <v>0</v>
      </c>
      <c r="N142" s="513"/>
      <c r="O142" s="505">
        <f t="shared" si="36"/>
        <v>0</v>
      </c>
      <c r="P142" s="505">
        <f t="shared" si="37"/>
        <v>0</v>
      </c>
      <c r="Q142" s="244"/>
      <c r="R142" s="244"/>
      <c r="S142" s="244"/>
      <c r="T142" s="244"/>
      <c r="U142" s="244"/>
    </row>
    <row r="143" spans="2:21" ht="12.5">
      <c r="B143" s="145" t="str">
        <f t="shared" si="18"/>
        <v/>
      </c>
      <c r="C143" s="496">
        <f>IF(D94="","-",+C142+1)</f>
        <v>2053</v>
      </c>
      <c r="D143" s="350">
        <f>IF(F142+SUM(E$100:E142)=D$93,F142,D$93-SUM(E$100:E142))</f>
        <v>0</v>
      </c>
      <c r="E143" s="510">
        <f>IF(+J97&lt;F142,J97,D143)</f>
        <v>0</v>
      </c>
      <c r="F143" s="511">
        <f t="shared" si="32"/>
        <v>0</v>
      </c>
      <c r="G143" s="511">
        <f t="shared" si="33"/>
        <v>0</v>
      </c>
      <c r="H143" s="646">
        <f t="shared" si="31"/>
        <v>0</v>
      </c>
      <c r="I143" s="573">
        <f t="shared" si="30"/>
        <v>0</v>
      </c>
      <c r="J143" s="505">
        <f t="shared" si="34"/>
        <v>0</v>
      </c>
      <c r="K143" s="505"/>
      <c r="L143" s="513"/>
      <c r="M143" s="505">
        <f t="shared" si="35"/>
        <v>0</v>
      </c>
      <c r="N143" s="513"/>
      <c r="O143" s="505">
        <f t="shared" si="36"/>
        <v>0</v>
      </c>
      <c r="P143" s="505">
        <f t="shared" si="37"/>
        <v>0</v>
      </c>
      <c r="Q143" s="244"/>
      <c r="R143" s="244"/>
      <c r="S143" s="244"/>
      <c r="T143" s="244"/>
      <c r="U143" s="244"/>
    </row>
    <row r="144" spans="2:21" ht="12.5">
      <c r="B144" s="145" t="str">
        <f t="shared" si="18"/>
        <v/>
      </c>
      <c r="C144" s="496">
        <f>IF(D94="","-",+C143+1)</f>
        <v>2054</v>
      </c>
      <c r="D144" s="350">
        <f>IF(F143+SUM(E$100:E143)=D$93,F143,D$93-SUM(E$100:E143))</f>
        <v>0</v>
      </c>
      <c r="E144" s="510">
        <f>IF(+J97&lt;F143,J97,D144)</f>
        <v>0</v>
      </c>
      <c r="F144" s="511">
        <f t="shared" si="32"/>
        <v>0</v>
      </c>
      <c r="G144" s="511">
        <f t="shared" si="33"/>
        <v>0</v>
      </c>
      <c r="H144" s="646">
        <f t="shared" si="31"/>
        <v>0</v>
      </c>
      <c r="I144" s="573">
        <f t="shared" si="30"/>
        <v>0</v>
      </c>
      <c r="J144" s="505">
        <f t="shared" si="34"/>
        <v>0</v>
      </c>
      <c r="K144" s="505"/>
      <c r="L144" s="513"/>
      <c r="M144" s="505">
        <f t="shared" si="35"/>
        <v>0</v>
      </c>
      <c r="N144" s="513"/>
      <c r="O144" s="505">
        <f t="shared" si="36"/>
        <v>0</v>
      </c>
      <c r="P144" s="505">
        <f t="shared" si="37"/>
        <v>0</v>
      </c>
      <c r="Q144" s="244"/>
      <c r="R144" s="244"/>
      <c r="S144" s="244"/>
      <c r="T144" s="244"/>
      <c r="U144" s="244"/>
    </row>
    <row r="145" spans="2:21" ht="12.5">
      <c r="B145" s="145" t="str">
        <f t="shared" si="18"/>
        <v/>
      </c>
      <c r="C145" s="496">
        <f>IF(D94="","-",+C144+1)</f>
        <v>2055</v>
      </c>
      <c r="D145" s="350">
        <f>IF(F144+SUM(E$100:E144)=D$93,F144,D$93-SUM(E$100:E144))</f>
        <v>0</v>
      </c>
      <c r="E145" s="510">
        <f>IF(+J97&lt;F144,J97,D145)</f>
        <v>0</v>
      </c>
      <c r="F145" s="511">
        <f t="shared" si="32"/>
        <v>0</v>
      </c>
      <c r="G145" s="511">
        <f t="shared" si="33"/>
        <v>0</v>
      </c>
      <c r="H145" s="646">
        <f t="shared" si="31"/>
        <v>0</v>
      </c>
      <c r="I145" s="573">
        <f t="shared" si="30"/>
        <v>0</v>
      </c>
      <c r="J145" s="505">
        <f t="shared" si="34"/>
        <v>0</v>
      </c>
      <c r="K145" s="505"/>
      <c r="L145" s="513"/>
      <c r="M145" s="505">
        <f t="shared" si="35"/>
        <v>0</v>
      </c>
      <c r="N145" s="513"/>
      <c r="O145" s="505">
        <f t="shared" si="36"/>
        <v>0</v>
      </c>
      <c r="P145" s="505">
        <f t="shared" si="37"/>
        <v>0</v>
      </c>
      <c r="Q145" s="244"/>
      <c r="R145" s="244"/>
      <c r="S145" s="244"/>
      <c r="T145" s="244"/>
      <c r="U145" s="244"/>
    </row>
    <row r="146" spans="2:21" ht="12.5">
      <c r="B146" s="145" t="str">
        <f t="shared" si="18"/>
        <v/>
      </c>
      <c r="C146" s="496">
        <f>IF(D94="","-",+C145+1)</f>
        <v>2056</v>
      </c>
      <c r="D146" s="350">
        <f>IF(F145+SUM(E$100:E145)=D$93,F145,D$93-SUM(E$100:E145))</f>
        <v>0</v>
      </c>
      <c r="E146" s="510">
        <f>IF(+J97&lt;F145,J97,D146)</f>
        <v>0</v>
      </c>
      <c r="F146" s="511">
        <f t="shared" si="32"/>
        <v>0</v>
      </c>
      <c r="G146" s="511">
        <f t="shared" si="33"/>
        <v>0</v>
      </c>
      <c r="H146" s="646">
        <f t="shared" si="31"/>
        <v>0</v>
      </c>
      <c r="I146" s="573">
        <f t="shared" si="30"/>
        <v>0</v>
      </c>
      <c r="J146" s="505">
        <f t="shared" si="34"/>
        <v>0</v>
      </c>
      <c r="K146" s="505"/>
      <c r="L146" s="513"/>
      <c r="M146" s="505">
        <f t="shared" si="35"/>
        <v>0</v>
      </c>
      <c r="N146" s="513"/>
      <c r="O146" s="505">
        <f t="shared" si="36"/>
        <v>0</v>
      </c>
      <c r="P146" s="505">
        <f t="shared" si="37"/>
        <v>0</v>
      </c>
      <c r="Q146" s="244"/>
      <c r="R146" s="244"/>
      <c r="S146" s="244"/>
      <c r="T146" s="244"/>
      <c r="U146" s="244"/>
    </row>
    <row r="147" spans="2:21" ht="12.5">
      <c r="B147" s="145" t="str">
        <f t="shared" si="18"/>
        <v/>
      </c>
      <c r="C147" s="496">
        <f>IF(D94="","-",+C146+1)</f>
        <v>2057</v>
      </c>
      <c r="D147" s="350">
        <f>IF(F146+SUM(E$100:E146)=D$93,F146,D$93-SUM(E$100:E146))</f>
        <v>0</v>
      </c>
      <c r="E147" s="510">
        <f>IF(+J97&lt;F146,J97,D147)</f>
        <v>0</v>
      </c>
      <c r="F147" s="511">
        <f t="shared" si="32"/>
        <v>0</v>
      </c>
      <c r="G147" s="511">
        <f t="shared" si="33"/>
        <v>0</v>
      </c>
      <c r="H147" s="646">
        <f t="shared" si="31"/>
        <v>0</v>
      </c>
      <c r="I147" s="573">
        <f t="shared" si="30"/>
        <v>0</v>
      </c>
      <c r="J147" s="505">
        <f t="shared" si="34"/>
        <v>0</v>
      </c>
      <c r="K147" s="505"/>
      <c r="L147" s="513"/>
      <c r="M147" s="505">
        <f t="shared" si="35"/>
        <v>0</v>
      </c>
      <c r="N147" s="513"/>
      <c r="O147" s="505">
        <f t="shared" si="36"/>
        <v>0</v>
      </c>
      <c r="P147" s="505">
        <f t="shared" si="37"/>
        <v>0</v>
      </c>
      <c r="Q147" s="244"/>
      <c r="R147" s="244"/>
      <c r="S147" s="244"/>
      <c r="T147" s="244"/>
      <c r="U147" s="244"/>
    </row>
    <row r="148" spans="2:21" ht="12.5">
      <c r="B148" s="145" t="str">
        <f t="shared" si="18"/>
        <v/>
      </c>
      <c r="C148" s="496">
        <f>IF(D94="","-",+C147+1)</f>
        <v>2058</v>
      </c>
      <c r="D148" s="350">
        <f>IF(F147+SUM(E$100:E147)=D$93,F147,D$93-SUM(E$100:E147))</f>
        <v>0</v>
      </c>
      <c r="E148" s="510">
        <f>IF(+J97&lt;F147,J97,D148)</f>
        <v>0</v>
      </c>
      <c r="F148" s="511">
        <f t="shared" si="32"/>
        <v>0</v>
      </c>
      <c r="G148" s="511">
        <f t="shared" si="33"/>
        <v>0</v>
      </c>
      <c r="H148" s="646">
        <f t="shared" si="31"/>
        <v>0</v>
      </c>
      <c r="I148" s="573">
        <f t="shared" si="30"/>
        <v>0</v>
      </c>
      <c r="J148" s="505">
        <f t="shared" si="34"/>
        <v>0</v>
      </c>
      <c r="K148" s="505"/>
      <c r="L148" s="513"/>
      <c r="M148" s="505">
        <f t="shared" si="35"/>
        <v>0</v>
      </c>
      <c r="N148" s="513"/>
      <c r="O148" s="505">
        <f t="shared" si="36"/>
        <v>0</v>
      </c>
      <c r="P148" s="505">
        <f t="shared" si="37"/>
        <v>0</v>
      </c>
      <c r="Q148" s="244"/>
      <c r="R148" s="244"/>
      <c r="S148" s="244"/>
      <c r="T148" s="244"/>
      <c r="U148" s="244"/>
    </row>
    <row r="149" spans="2:21" ht="12.5">
      <c r="B149" s="145" t="str">
        <f t="shared" si="18"/>
        <v/>
      </c>
      <c r="C149" s="496">
        <f>IF(D94="","-",+C148+1)</f>
        <v>2059</v>
      </c>
      <c r="D149" s="350">
        <f>IF(F148+SUM(E$100:E148)=D$93,F148,D$93-SUM(E$100:E148))</f>
        <v>0</v>
      </c>
      <c r="E149" s="510">
        <f>IF(+J97&lt;F148,J97,D149)</f>
        <v>0</v>
      </c>
      <c r="F149" s="511">
        <f t="shared" si="32"/>
        <v>0</v>
      </c>
      <c r="G149" s="511">
        <f t="shared" si="33"/>
        <v>0</v>
      </c>
      <c r="H149" s="646">
        <f t="shared" si="31"/>
        <v>0</v>
      </c>
      <c r="I149" s="573">
        <f t="shared" si="30"/>
        <v>0</v>
      </c>
      <c r="J149" s="505">
        <f t="shared" si="34"/>
        <v>0</v>
      </c>
      <c r="K149" s="505"/>
      <c r="L149" s="513"/>
      <c r="M149" s="505">
        <f t="shared" si="35"/>
        <v>0</v>
      </c>
      <c r="N149" s="513"/>
      <c r="O149" s="505">
        <f t="shared" si="36"/>
        <v>0</v>
      </c>
      <c r="P149" s="505">
        <f t="shared" si="37"/>
        <v>0</v>
      </c>
      <c r="Q149" s="244"/>
      <c r="R149" s="244"/>
      <c r="S149" s="244"/>
      <c r="T149" s="244"/>
      <c r="U149" s="244"/>
    </row>
    <row r="150" spans="2:21" ht="12.5">
      <c r="B150" s="145" t="str">
        <f t="shared" si="18"/>
        <v/>
      </c>
      <c r="C150" s="496">
        <f>IF(D94="","-",+C149+1)</f>
        <v>2060</v>
      </c>
      <c r="D150" s="350">
        <f>IF(F149+SUM(E$100:E149)=D$93,F149,D$93-SUM(E$100:E149))</f>
        <v>0</v>
      </c>
      <c r="E150" s="510">
        <f>IF(+J97&lt;F149,J97,D150)</f>
        <v>0</v>
      </c>
      <c r="F150" s="511">
        <f t="shared" si="32"/>
        <v>0</v>
      </c>
      <c r="G150" s="511">
        <f t="shared" si="33"/>
        <v>0</v>
      </c>
      <c r="H150" s="646">
        <f t="shared" si="31"/>
        <v>0</v>
      </c>
      <c r="I150" s="573">
        <f t="shared" si="30"/>
        <v>0</v>
      </c>
      <c r="J150" s="505">
        <f t="shared" si="34"/>
        <v>0</v>
      </c>
      <c r="K150" s="505"/>
      <c r="L150" s="513"/>
      <c r="M150" s="505">
        <f t="shared" si="35"/>
        <v>0</v>
      </c>
      <c r="N150" s="513"/>
      <c r="O150" s="505">
        <f t="shared" si="36"/>
        <v>0</v>
      </c>
      <c r="P150" s="505">
        <f t="shared" si="37"/>
        <v>0</v>
      </c>
      <c r="Q150" s="244"/>
      <c r="R150" s="244"/>
      <c r="S150" s="244"/>
      <c r="T150" s="244"/>
      <c r="U150" s="244"/>
    </row>
    <row r="151" spans="2:21" ht="12.5">
      <c r="B151" s="145" t="str">
        <f t="shared" si="18"/>
        <v/>
      </c>
      <c r="C151" s="496">
        <f>IF(D94="","-",+C150+1)</f>
        <v>2061</v>
      </c>
      <c r="D151" s="350">
        <f>IF(F150+SUM(E$100:E150)=D$93,F150,D$93-SUM(E$100:E150))</f>
        <v>0</v>
      </c>
      <c r="E151" s="510">
        <f>IF(+J97&lt;F150,J97,D151)</f>
        <v>0</v>
      </c>
      <c r="F151" s="511">
        <f t="shared" si="32"/>
        <v>0</v>
      </c>
      <c r="G151" s="511">
        <f t="shared" si="33"/>
        <v>0</v>
      </c>
      <c r="H151" s="646">
        <f t="shared" si="31"/>
        <v>0</v>
      </c>
      <c r="I151" s="573">
        <f t="shared" si="30"/>
        <v>0</v>
      </c>
      <c r="J151" s="505">
        <f t="shared" si="34"/>
        <v>0</v>
      </c>
      <c r="K151" s="505"/>
      <c r="L151" s="513"/>
      <c r="M151" s="505">
        <f t="shared" si="35"/>
        <v>0</v>
      </c>
      <c r="N151" s="513"/>
      <c r="O151" s="505">
        <f t="shared" si="36"/>
        <v>0</v>
      </c>
      <c r="P151" s="505">
        <f t="shared" si="37"/>
        <v>0</v>
      </c>
      <c r="Q151" s="244"/>
      <c r="R151" s="244"/>
      <c r="S151" s="244"/>
      <c r="T151" s="244"/>
      <c r="U151" s="244"/>
    </row>
    <row r="152" spans="2:21" ht="12.5">
      <c r="B152" s="145" t="str">
        <f t="shared" si="18"/>
        <v/>
      </c>
      <c r="C152" s="496">
        <f>IF(D94="","-",+C151+1)</f>
        <v>2062</v>
      </c>
      <c r="D152" s="350">
        <f>IF(F151+SUM(E$100:E151)=D$93,F151,D$93-SUM(E$100:E151))</f>
        <v>0</v>
      </c>
      <c r="E152" s="510">
        <f>IF(+J97&lt;F151,J97,D152)</f>
        <v>0</v>
      </c>
      <c r="F152" s="511">
        <f t="shared" si="32"/>
        <v>0</v>
      </c>
      <c r="G152" s="511">
        <f t="shared" si="33"/>
        <v>0</v>
      </c>
      <c r="H152" s="646">
        <f t="shared" si="31"/>
        <v>0</v>
      </c>
      <c r="I152" s="573">
        <f t="shared" si="30"/>
        <v>0</v>
      </c>
      <c r="J152" s="505">
        <f t="shared" si="34"/>
        <v>0</v>
      </c>
      <c r="K152" s="505"/>
      <c r="L152" s="513"/>
      <c r="M152" s="505">
        <f t="shared" si="35"/>
        <v>0</v>
      </c>
      <c r="N152" s="513"/>
      <c r="O152" s="505">
        <f t="shared" si="36"/>
        <v>0</v>
      </c>
      <c r="P152" s="505">
        <f t="shared" si="37"/>
        <v>0</v>
      </c>
      <c r="Q152" s="244"/>
      <c r="R152" s="244"/>
      <c r="S152" s="244"/>
      <c r="T152" s="244"/>
      <c r="U152" s="244"/>
    </row>
    <row r="153" spans="2:21" ht="12.5">
      <c r="B153" s="145" t="str">
        <f t="shared" si="18"/>
        <v/>
      </c>
      <c r="C153" s="496">
        <f>IF(D94="","-",+C152+1)</f>
        <v>2063</v>
      </c>
      <c r="D153" s="350">
        <f>IF(F152+SUM(E$100:E152)=D$93,F152,D$93-SUM(E$100:E152))</f>
        <v>0</v>
      </c>
      <c r="E153" s="510">
        <f>IF(+J97&lt;F152,J97,D153)</f>
        <v>0</v>
      </c>
      <c r="F153" s="511">
        <f t="shared" si="32"/>
        <v>0</v>
      </c>
      <c r="G153" s="511">
        <f t="shared" si="33"/>
        <v>0</v>
      </c>
      <c r="H153" s="646">
        <f t="shared" si="31"/>
        <v>0</v>
      </c>
      <c r="I153" s="573">
        <f t="shared" si="30"/>
        <v>0</v>
      </c>
      <c r="J153" s="505">
        <f t="shared" si="34"/>
        <v>0</v>
      </c>
      <c r="K153" s="505"/>
      <c r="L153" s="513"/>
      <c r="M153" s="505">
        <f t="shared" si="35"/>
        <v>0</v>
      </c>
      <c r="N153" s="513"/>
      <c r="O153" s="505">
        <f t="shared" si="36"/>
        <v>0</v>
      </c>
      <c r="P153" s="505">
        <f t="shared" si="37"/>
        <v>0</v>
      </c>
      <c r="Q153" s="244"/>
      <c r="R153" s="244"/>
      <c r="S153" s="244"/>
      <c r="T153" s="244"/>
      <c r="U153" s="244"/>
    </row>
    <row r="154" spans="2:21" ht="12.5">
      <c r="B154" s="145" t="str">
        <f t="shared" si="18"/>
        <v/>
      </c>
      <c r="C154" s="496">
        <f>IF(D94="","-",+C153+1)</f>
        <v>2064</v>
      </c>
      <c r="D154" s="350">
        <f>IF(F153+SUM(E$100:E153)=D$93,F153,D$93-SUM(E$100:E153))</f>
        <v>0</v>
      </c>
      <c r="E154" s="510">
        <f>IF(+J97&lt;F153,J97,D154)</f>
        <v>0</v>
      </c>
      <c r="F154" s="511">
        <f t="shared" si="32"/>
        <v>0</v>
      </c>
      <c r="G154" s="511">
        <f t="shared" si="33"/>
        <v>0</v>
      </c>
      <c r="H154" s="646">
        <f t="shared" si="31"/>
        <v>0</v>
      </c>
      <c r="I154" s="573">
        <f t="shared" si="30"/>
        <v>0</v>
      </c>
      <c r="J154" s="505">
        <f t="shared" si="34"/>
        <v>0</v>
      </c>
      <c r="K154" s="505"/>
      <c r="L154" s="513"/>
      <c r="M154" s="505">
        <f t="shared" si="35"/>
        <v>0</v>
      </c>
      <c r="N154" s="513"/>
      <c r="O154" s="505">
        <f t="shared" si="36"/>
        <v>0</v>
      </c>
      <c r="P154" s="505">
        <f t="shared" si="37"/>
        <v>0</v>
      </c>
      <c r="Q154" s="244"/>
      <c r="R154" s="244"/>
      <c r="S154" s="244"/>
      <c r="T154" s="244"/>
      <c r="U154" s="244"/>
    </row>
    <row r="155" spans="2:21" ht="13" thickBot="1">
      <c r="B155" s="145" t="str">
        <f t="shared" si="18"/>
        <v/>
      </c>
      <c r="C155" s="525">
        <f>IF(D94="","-",+C154+1)</f>
        <v>2065</v>
      </c>
      <c r="D155" s="528">
        <f>IF(F154+SUM(E$100:E154)=D$93,F154,D$93-SUM(E$100:E154))</f>
        <v>0</v>
      </c>
      <c r="E155" s="527">
        <f>IF(+J97&lt;F154,J97,D155)</f>
        <v>0</v>
      </c>
      <c r="F155" s="528">
        <f t="shared" si="32"/>
        <v>0</v>
      </c>
      <c r="G155" s="528">
        <f t="shared" si="33"/>
        <v>0</v>
      </c>
      <c r="H155" s="646">
        <f t="shared" si="31"/>
        <v>0</v>
      </c>
      <c r="I155" s="574">
        <f t="shared" si="30"/>
        <v>0</v>
      </c>
      <c r="J155" s="532">
        <f t="shared" si="34"/>
        <v>0</v>
      </c>
      <c r="K155" s="505"/>
      <c r="L155" s="531"/>
      <c r="M155" s="532">
        <f t="shared" si="35"/>
        <v>0</v>
      </c>
      <c r="N155" s="531"/>
      <c r="O155" s="532">
        <f t="shared" si="36"/>
        <v>0</v>
      </c>
      <c r="P155" s="532">
        <f t="shared" si="37"/>
        <v>0</v>
      </c>
      <c r="Q155" s="244"/>
      <c r="R155" s="244"/>
      <c r="S155" s="244"/>
      <c r="T155" s="244"/>
      <c r="U155" s="244"/>
    </row>
    <row r="156" spans="2:21" ht="12.5">
      <c r="C156" s="350" t="s">
        <v>75</v>
      </c>
      <c r="D156" s="295"/>
      <c r="E156" s="295">
        <f>SUM(E100:E155)</f>
        <v>985777.3399999995</v>
      </c>
      <c r="F156" s="295"/>
      <c r="G156" s="295"/>
      <c r="H156" s="295">
        <f>SUM(H100:H155)</f>
        <v>2936689.7696075896</v>
      </c>
      <c r="I156" s="295">
        <f>SUM(I100:I155)</f>
        <v>2936689.7696075896</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8" priority="1" stopIfTrue="1" operator="equal">
      <formula>$I$10</formula>
    </cfRule>
  </conditionalFormatting>
  <conditionalFormatting sqref="C100:C155">
    <cfRule type="cellIs" dxfId="47"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U163"/>
  <sheetViews>
    <sheetView tabSelected="1" view="pageBreakPreview" zoomScale="85" zoomScaleNormal="10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8.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3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71183.123031214564</v>
      </c>
      <c r="P5" s="244"/>
      <c r="R5" s="244"/>
      <c r="S5" s="244"/>
      <c r="T5" s="244"/>
      <c r="U5" s="244"/>
    </row>
    <row r="6" spans="1:21" ht="15.5">
      <c r="C6" s="236"/>
      <c r="D6" s="293"/>
      <c r="E6" s="244"/>
      <c r="F6" s="244"/>
      <c r="G6" s="244"/>
      <c r="H6" s="450"/>
      <c r="I6" s="450"/>
      <c r="J6" s="451"/>
      <c r="K6" s="452" t="s">
        <v>243</v>
      </c>
      <c r="L6" s="453"/>
      <c r="M6" s="279"/>
      <c r="N6" s="454">
        <f>VLOOKUP(I10,C17:I73,6)</f>
        <v>71183.123031214564</v>
      </c>
      <c r="O6" s="244"/>
      <c r="P6" s="244"/>
      <c r="R6" s="244"/>
      <c r="S6" s="244"/>
      <c r="T6" s="244"/>
      <c r="U6" s="244"/>
    </row>
    <row r="7" spans="1:21" ht="13.5" thickBot="1">
      <c r="C7" s="455" t="s">
        <v>46</v>
      </c>
      <c r="D7" s="456" t="s">
        <v>199</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198</v>
      </c>
      <c r="E9" s="466"/>
      <c r="F9" s="466"/>
      <c r="G9" s="466"/>
      <c r="H9" s="466"/>
      <c r="I9" s="467"/>
      <c r="J9" s="468"/>
      <c r="O9" s="469"/>
      <c r="P9" s="279"/>
      <c r="R9" s="244"/>
      <c r="S9" s="244"/>
      <c r="T9" s="244"/>
      <c r="U9" s="244"/>
    </row>
    <row r="10" spans="1:21" ht="13">
      <c r="C10" s="470" t="s">
        <v>49</v>
      </c>
      <c r="D10" s="471">
        <v>614753</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18080.970588235294</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956000</v>
      </c>
      <c r="E17" s="498">
        <v>1378.1704053213118</v>
      </c>
      <c r="F17" s="497">
        <v>954621.82959467871</v>
      </c>
      <c r="G17" s="499">
        <v>125484.70184654166</v>
      </c>
      <c r="H17" s="500">
        <v>125484.70184654166</v>
      </c>
      <c r="I17" s="585">
        <f>H17-G17</f>
        <v>0</v>
      </c>
      <c r="J17" s="351"/>
      <c r="K17" s="507">
        <f t="shared" ref="K17:K22" si="1">G17</f>
        <v>125484.70184654166</v>
      </c>
      <c r="L17" s="586">
        <f t="shared" ref="L17:L49" si="2">IF(K17&lt;&gt;0,+G17-K17,0)</f>
        <v>0</v>
      </c>
      <c r="M17" s="507">
        <f t="shared" ref="M17:M22" si="3">H17</f>
        <v>125484.70184654166</v>
      </c>
      <c r="N17" s="587">
        <f t="shared" ref="N17:N49" si="4">IF(M17&lt;&gt;0,+H17-M17,0)</f>
        <v>0</v>
      </c>
      <c r="O17" s="505">
        <f t="shared" ref="O17:O49" si="5">+N17-L17</f>
        <v>0</v>
      </c>
      <c r="P17" s="279"/>
      <c r="R17" s="244"/>
      <c r="S17" s="244"/>
      <c r="T17" s="244"/>
      <c r="U17" s="244"/>
    </row>
    <row r="18" spans="2:21" ht="12.5">
      <c r="B18" s="145" t="str">
        <f t="shared" si="0"/>
        <v/>
      </c>
      <c r="C18" s="496">
        <f>IF(D11="","-",+C17+1)</f>
        <v>2012</v>
      </c>
      <c r="D18" s="506">
        <v>954621.82959467871</v>
      </c>
      <c r="E18" s="499">
        <v>10633.668760887396</v>
      </c>
      <c r="F18" s="506">
        <v>943988.16083379136</v>
      </c>
      <c r="G18" s="499">
        <v>101867.32341201812</v>
      </c>
      <c r="H18" s="500">
        <v>101867.32341201812</v>
      </c>
      <c r="I18" s="501">
        <v>0</v>
      </c>
      <c r="J18" s="351"/>
      <c r="K18" s="507">
        <f t="shared" si="1"/>
        <v>101867.32341201812</v>
      </c>
      <c r="L18" s="351">
        <f t="shared" si="2"/>
        <v>0</v>
      </c>
      <c r="M18" s="507">
        <f t="shared" si="3"/>
        <v>101867.32341201812</v>
      </c>
      <c r="N18" s="501">
        <f t="shared" si="4"/>
        <v>0</v>
      </c>
      <c r="O18" s="505">
        <f t="shared" si="5"/>
        <v>0</v>
      </c>
      <c r="P18" s="279"/>
      <c r="R18" s="244"/>
      <c r="S18" s="244"/>
      <c r="T18" s="244"/>
      <c r="U18" s="244"/>
    </row>
    <row r="19" spans="2:21" ht="12.5">
      <c r="B19" s="145" t="str">
        <f t="shared" si="0"/>
        <v>IU</v>
      </c>
      <c r="C19" s="496">
        <f>IF(D11="","-",+C18+1)</f>
        <v>2013</v>
      </c>
      <c r="D19" s="506">
        <v>602741.16083379125</v>
      </c>
      <c r="E19" s="499">
        <v>10634.741311914131</v>
      </c>
      <c r="F19" s="506">
        <v>592106.41952187708</v>
      </c>
      <c r="G19" s="499">
        <v>75317.164005617815</v>
      </c>
      <c r="H19" s="500">
        <v>75317.164005617815</v>
      </c>
      <c r="I19" s="501">
        <v>0</v>
      </c>
      <c r="J19" s="351"/>
      <c r="K19" s="507">
        <f t="shared" si="1"/>
        <v>75317.164005617815</v>
      </c>
      <c r="L19" s="351">
        <f t="shared" ref="L19:L24" si="6">IF(K19&lt;&gt;0,+G19-K19,0)</f>
        <v>0</v>
      </c>
      <c r="M19" s="507">
        <f t="shared" si="3"/>
        <v>75317.164005617815</v>
      </c>
      <c r="N19" s="501">
        <f>IF(M19&lt;&gt;0,+H19-M19,0)</f>
        <v>0</v>
      </c>
      <c r="O19" s="505">
        <f>+N19-L19</f>
        <v>0</v>
      </c>
      <c r="P19" s="279"/>
      <c r="R19" s="244"/>
      <c r="S19" s="244"/>
      <c r="T19" s="244"/>
      <c r="U19" s="244"/>
    </row>
    <row r="20" spans="2:21" ht="12.5">
      <c r="B20" s="145" t="str">
        <f t="shared" si="0"/>
        <v/>
      </c>
      <c r="C20" s="496">
        <f>IF(D11="","-",+C19+1)</f>
        <v>2014</v>
      </c>
      <c r="D20" s="506">
        <v>592106.41952187708</v>
      </c>
      <c r="E20" s="499">
        <v>10634.741311914131</v>
      </c>
      <c r="F20" s="506">
        <v>581471.67820996291</v>
      </c>
      <c r="G20" s="499">
        <v>74612.516014807363</v>
      </c>
      <c r="H20" s="500">
        <v>74612.516014807363</v>
      </c>
      <c r="I20" s="501">
        <v>0</v>
      </c>
      <c r="J20" s="351"/>
      <c r="K20" s="507">
        <f t="shared" si="1"/>
        <v>74612.516014807363</v>
      </c>
      <c r="L20" s="351">
        <f t="shared" si="6"/>
        <v>0</v>
      </c>
      <c r="M20" s="507">
        <f t="shared" si="3"/>
        <v>74612.516014807363</v>
      </c>
      <c r="N20" s="501">
        <f>IF(M20&lt;&gt;0,+H20-M20,0)</f>
        <v>0</v>
      </c>
      <c r="O20" s="505">
        <f>+N20-L20</f>
        <v>0</v>
      </c>
      <c r="P20" s="279"/>
      <c r="R20" s="244"/>
      <c r="S20" s="244"/>
      <c r="T20" s="244"/>
      <c r="U20" s="244"/>
    </row>
    <row r="21" spans="2:21" ht="12.5">
      <c r="B21" s="145" t="str">
        <f t="shared" si="0"/>
        <v/>
      </c>
      <c r="C21" s="496">
        <f>IF(D12="","-",+C20+1)</f>
        <v>2015</v>
      </c>
      <c r="D21" s="506">
        <v>581471.67820996291</v>
      </c>
      <c r="E21" s="499">
        <v>10634.741311914131</v>
      </c>
      <c r="F21" s="506">
        <v>570836.93689804873</v>
      </c>
      <c r="G21" s="499">
        <v>69468.300328468598</v>
      </c>
      <c r="H21" s="500">
        <v>69468.300328468569</v>
      </c>
      <c r="I21" s="501">
        <v>0</v>
      </c>
      <c r="J21" s="351"/>
      <c r="K21" s="507">
        <f t="shared" si="1"/>
        <v>69468.300328468598</v>
      </c>
      <c r="L21" s="351">
        <f t="shared" si="6"/>
        <v>0</v>
      </c>
      <c r="M21" s="507">
        <f t="shared" si="3"/>
        <v>69468.300328468569</v>
      </c>
      <c r="N21" s="501">
        <f>IF(M21&lt;&gt;0,+H21-M21,0)</f>
        <v>0</v>
      </c>
      <c r="O21" s="505">
        <f>+N21-L21</f>
        <v>0</v>
      </c>
      <c r="P21" s="279"/>
      <c r="R21" s="244"/>
      <c r="S21" s="244"/>
      <c r="T21" s="244"/>
      <c r="U21" s="244"/>
    </row>
    <row r="22" spans="2:21" ht="12.5">
      <c r="B22" s="145" t="str">
        <f t="shared" si="0"/>
        <v/>
      </c>
      <c r="C22" s="496">
        <f>IF(D11="","-",+C21+1)</f>
        <v>2016</v>
      </c>
      <c r="D22" s="506">
        <v>570836.93689804873</v>
      </c>
      <c r="E22" s="499">
        <v>12774.231778414165</v>
      </c>
      <c r="F22" s="506">
        <v>558062.70511963451</v>
      </c>
      <c r="G22" s="499">
        <v>72978.242931137109</v>
      </c>
      <c r="H22" s="500">
        <v>72978.242931137109</v>
      </c>
      <c r="I22" s="501">
        <f t="shared" ref="I22:I49" si="7">H22-G22</f>
        <v>0</v>
      </c>
      <c r="J22" s="501"/>
      <c r="K22" s="507">
        <f t="shared" si="1"/>
        <v>72978.242931137109</v>
      </c>
      <c r="L22" s="351">
        <f t="shared" si="6"/>
        <v>0</v>
      </c>
      <c r="M22" s="507">
        <f t="shared" si="3"/>
        <v>72978.242931137109</v>
      </c>
      <c r="N22" s="501">
        <f t="shared" si="4"/>
        <v>0</v>
      </c>
      <c r="O22" s="505">
        <f t="shared" si="5"/>
        <v>0</v>
      </c>
      <c r="P22" s="279"/>
      <c r="R22" s="244"/>
      <c r="S22" s="244"/>
      <c r="T22" s="244"/>
      <c r="U22" s="244"/>
    </row>
    <row r="23" spans="2:21" ht="12.5">
      <c r="B23" s="145" t="str">
        <f t="shared" si="0"/>
        <v/>
      </c>
      <c r="C23" s="496">
        <f>IF(D11="","-",+C22+1)</f>
        <v>2017</v>
      </c>
      <c r="D23" s="506">
        <v>558062.70511963451</v>
      </c>
      <c r="E23" s="499">
        <v>12087.261057971307</v>
      </c>
      <c r="F23" s="506">
        <v>545975.44406166323</v>
      </c>
      <c r="G23" s="499">
        <v>72776.222858216002</v>
      </c>
      <c r="H23" s="500">
        <v>72776.222858216002</v>
      </c>
      <c r="I23" s="501">
        <f t="shared" si="7"/>
        <v>0</v>
      </c>
      <c r="J23" s="501"/>
      <c r="K23" s="507">
        <f>G23</f>
        <v>72776.222858216002</v>
      </c>
      <c r="L23" s="351">
        <f t="shared" si="6"/>
        <v>0</v>
      </c>
      <c r="M23" s="507">
        <f>H23</f>
        <v>72776.222858216002</v>
      </c>
      <c r="N23" s="501">
        <f>IF(M23&lt;&gt;0,+H23-M23,0)</f>
        <v>0</v>
      </c>
      <c r="O23" s="505">
        <f>+N23-L23</f>
        <v>0</v>
      </c>
      <c r="P23" s="279"/>
      <c r="R23" s="244"/>
      <c r="S23" s="244"/>
      <c r="T23" s="244"/>
      <c r="U23" s="244"/>
    </row>
    <row r="24" spans="2:21" ht="12.5">
      <c r="B24" s="145" t="str">
        <f t="shared" si="0"/>
        <v/>
      </c>
      <c r="C24" s="496">
        <f>IF(D11="","-",+C23+1)</f>
        <v>2018</v>
      </c>
      <c r="D24" s="506">
        <v>545975.44406166323</v>
      </c>
      <c r="E24" s="499">
        <v>15076.56031908646</v>
      </c>
      <c r="F24" s="506">
        <v>530898.88374257681</v>
      </c>
      <c r="G24" s="499">
        <v>78338.095666520749</v>
      </c>
      <c r="H24" s="500">
        <v>78338.095666520749</v>
      </c>
      <c r="I24" s="501">
        <v>0</v>
      </c>
      <c r="J24" s="501"/>
      <c r="K24" s="507">
        <f>G24</f>
        <v>78338.095666520749</v>
      </c>
      <c r="L24" s="351">
        <f t="shared" si="6"/>
        <v>0</v>
      </c>
      <c r="M24" s="507">
        <f>H24</f>
        <v>78338.095666520749</v>
      </c>
      <c r="N24" s="501">
        <f>IF(M24&lt;&gt;0,+H24-M24,0)</f>
        <v>0</v>
      </c>
      <c r="O24" s="505">
        <f>+N24-L24</f>
        <v>0</v>
      </c>
      <c r="P24" s="279"/>
      <c r="R24" s="244"/>
      <c r="S24" s="244"/>
      <c r="T24" s="244"/>
      <c r="U24" s="244"/>
    </row>
    <row r="25" spans="2:21" ht="12.5">
      <c r="B25" s="145" t="str">
        <f t="shared" si="0"/>
        <v/>
      </c>
      <c r="C25" s="496">
        <f>IF(D11="","-",+C24+1)</f>
        <v>2019</v>
      </c>
      <c r="D25" s="506">
        <v>530898.88374257681</v>
      </c>
      <c r="E25" s="499">
        <v>15076.56031908646</v>
      </c>
      <c r="F25" s="506">
        <v>515822.32342349034</v>
      </c>
      <c r="G25" s="499">
        <v>76566.735111406859</v>
      </c>
      <c r="H25" s="500">
        <v>76566.735111406859</v>
      </c>
      <c r="I25" s="501">
        <f t="shared" si="7"/>
        <v>0</v>
      </c>
      <c r="J25" s="501"/>
      <c r="K25" s="507">
        <f>G25</f>
        <v>76566.735111406859</v>
      </c>
      <c r="L25" s="351">
        <f t="shared" ref="L25" si="8">IF(K25&lt;&gt;0,+G25-K25,0)</f>
        <v>0</v>
      </c>
      <c r="M25" s="507">
        <f>H25</f>
        <v>76566.735111406859</v>
      </c>
      <c r="N25" s="501">
        <f>IF(M25&lt;&gt;0,+H25-M25,0)</f>
        <v>0</v>
      </c>
      <c r="O25" s="505">
        <f>+N25-L25</f>
        <v>0</v>
      </c>
      <c r="P25" s="279"/>
      <c r="R25" s="244"/>
      <c r="S25" s="244"/>
      <c r="T25" s="244"/>
      <c r="U25" s="244"/>
    </row>
    <row r="26" spans="2:21" ht="12.5">
      <c r="B26" s="145" t="str">
        <f t="shared" si="0"/>
        <v/>
      </c>
      <c r="C26" s="496">
        <f>IF(D11="","-",+C25+1)</f>
        <v>2020</v>
      </c>
      <c r="D26" s="506">
        <v>515822.32342349034</v>
      </c>
      <c r="E26" s="499">
        <v>18001.062389209259</v>
      </c>
      <c r="F26" s="506">
        <v>497821.26103428105</v>
      </c>
      <c r="G26" s="499">
        <v>71183.123031214564</v>
      </c>
      <c r="H26" s="500">
        <v>71183.123031214564</v>
      </c>
      <c r="I26" s="501">
        <f t="shared" si="7"/>
        <v>0</v>
      </c>
      <c r="J26" s="501"/>
      <c r="K26" s="507">
        <f>G26</f>
        <v>71183.123031214564</v>
      </c>
      <c r="L26" s="351">
        <f t="shared" ref="L26" si="9">IF(K26&lt;&gt;0,+G26-K26,0)</f>
        <v>0</v>
      </c>
      <c r="M26" s="507">
        <f>H26</f>
        <v>71183.123031214564</v>
      </c>
      <c r="N26" s="505">
        <f t="shared" si="4"/>
        <v>0</v>
      </c>
      <c r="O26" s="505">
        <f t="shared" si="5"/>
        <v>0</v>
      </c>
      <c r="P26" s="279"/>
      <c r="R26" s="244"/>
      <c r="S26" s="244"/>
      <c r="T26" s="244"/>
      <c r="U26" s="244"/>
    </row>
    <row r="27" spans="2:21" ht="12.5">
      <c r="B27" s="145" t="str">
        <f t="shared" si="0"/>
        <v/>
      </c>
      <c r="C27" s="496">
        <f>IF(D11="","-",+C26+1)</f>
        <v>2021</v>
      </c>
      <c r="D27" s="509">
        <f>IF(F26+SUM(E$17:E26)=D$10,F26,D$10-SUM(E$17:E26))</f>
        <v>497821.26103428105</v>
      </c>
      <c r="E27" s="510">
        <f>IF(+I14&lt;F26,I14,D27)</f>
        <v>18080.970588235294</v>
      </c>
      <c r="F27" s="511">
        <f t="shared" ref="F27:F50" si="10">+D27-E27</f>
        <v>479740.29044604575</v>
      </c>
      <c r="G27" s="512">
        <f t="shared" ref="G27:G73" si="11">(D27+F27)/2*I$12+E27</f>
        <v>70095.627110799163</v>
      </c>
      <c r="H27" s="478">
        <f t="shared" ref="H27:H73" si="12">+(D27+F27)/2*I$13+E27</f>
        <v>70095.627110799163</v>
      </c>
      <c r="I27" s="501">
        <f t="shared" si="7"/>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2022</v>
      </c>
      <c r="D28" s="509">
        <f>IF(F27+SUM(E$17:E27)=D$10,F27,D$10-SUM(E$17:E27))</f>
        <v>479740.29044604575</v>
      </c>
      <c r="E28" s="510">
        <f>IF(+I14&lt;F27,I14,D28)</f>
        <v>18080.970588235294</v>
      </c>
      <c r="F28" s="511">
        <f t="shared" si="10"/>
        <v>461659.31985781045</v>
      </c>
      <c r="G28" s="512">
        <f t="shared" si="11"/>
        <v>68171.501774000732</v>
      </c>
      <c r="H28" s="478">
        <f t="shared" si="12"/>
        <v>68171.501774000732</v>
      </c>
      <c r="I28" s="501">
        <f t="shared" si="7"/>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2023</v>
      </c>
      <c r="D29" s="509">
        <f>IF(F28+SUM(E$17:E28)=D$10,F28,D$10-SUM(E$17:E28))</f>
        <v>461659.31985781045</v>
      </c>
      <c r="E29" s="510">
        <f>IF(+I14&lt;F28,I14,D29)</f>
        <v>18080.970588235294</v>
      </c>
      <c r="F29" s="511">
        <f t="shared" si="10"/>
        <v>443578.34926957515</v>
      </c>
      <c r="G29" s="512">
        <f t="shared" si="11"/>
        <v>66247.3764372023</v>
      </c>
      <c r="H29" s="478">
        <f t="shared" si="12"/>
        <v>66247.3764372023</v>
      </c>
      <c r="I29" s="501">
        <f t="shared" si="7"/>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2024</v>
      </c>
      <c r="D30" s="509">
        <f>IF(F29+SUM(E$17:E29)=D$10,F29,D$10-SUM(E$17:E29))</f>
        <v>443578.34926957515</v>
      </c>
      <c r="E30" s="510">
        <f>IF(+I14&lt;F29,I14,D30)</f>
        <v>18080.970588235294</v>
      </c>
      <c r="F30" s="511">
        <f t="shared" si="10"/>
        <v>425497.37868133985</v>
      </c>
      <c r="G30" s="512">
        <f t="shared" si="11"/>
        <v>64323.251100403882</v>
      </c>
      <c r="H30" s="478">
        <f t="shared" si="12"/>
        <v>64323.251100403882</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2025</v>
      </c>
      <c r="D31" s="509">
        <f>IF(F30+SUM(E$17:E30)=D$10,F30,D$10-SUM(E$17:E30))</f>
        <v>425497.37868133985</v>
      </c>
      <c r="E31" s="510">
        <f>IF(+I14&lt;F30,I14,D31)</f>
        <v>18080.970588235294</v>
      </c>
      <c r="F31" s="511">
        <f t="shared" si="10"/>
        <v>407416.40809310455</v>
      </c>
      <c r="G31" s="512">
        <f t="shared" si="11"/>
        <v>62399.125763605451</v>
      </c>
      <c r="H31" s="478">
        <f t="shared" si="12"/>
        <v>62399.125763605451</v>
      </c>
      <c r="I31" s="501">
        <f t="shared" si="7"/>
        <v>0</v>
      </c>
      <c r="J31" s="35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407416.40809310455</v>
      </c>
      <c r="E32" s="510">
        <f>IF(+I14&lt;F31,I14,D32)</f>
        <v>18080.970588235294</v>
      </c>
      <c r="F32" s="511">
        <f>+D32-E32</f>
        <v>389335.43750486925</v>
      </c>
      <c r="G32" s="512">
        <f t="shared" si="11"/>
        <v>60475.000426807026</v>
      </c>
      <c r="H32" s="478">
        <f t="shared" si="12"/>
        <v>60475.000426807026</v>
      </c>
      <c r="I32" s="501">
        <f>H32-G32</f>
        <v>0</v>
      </c>
      <c r="J32" s="35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389335.43750486925</v>
      </c>
      <c r="E33" s="510">
        <f>IF(+I14&lt;F31,I14,D33)</f>
        <v>18080.970588235294</v>
      </c>
      <c r="F33" s="511">
        <f t="shared" si="10"/>
        <v>371254.46691663394</v>
      </c>
      <c r="G33" s="512">
        <f t="shared" si="11"/>
        <v>58550.875090008594</v>
      </c>
      <c r="H33" s="478">
        <f t="shared" si="12"/>
        <v>58550.875090008594</v>
      </c>
      <c r="I33" s="501">
        <f t="shared" si="7"/>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2028</v>
      </c>
      <c r="D34" s="515">
        <f>IF(F33+SUM(E$17:E33)=D$10,F33,D$10-SUM(E$17:E33))</f>
        <v>371254.46691663394</v>
      </c>
      <c r="E34" s="516">
        <f>IF(+I14&lt;F33,I14,D34)</f>
        <v>18080.970588235294</v>
      </c>
      <c r="F34" s="517">
        <f t="shared" si="10"/>
        <v>353173.49632839864</v>
      </c>
      <c r="G34" s="518">
        <f t="shared" si="11"/>
        <v>56626.74975321017</v>
      </c>
      <c r="H34" s="519">
        <f t="shared" si="12"/>
        <v>56626.74975321017</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2029</v>
      </c>
      <c r="D35" s="509">
        <f>IF(F34+SUM(E$17:E34)=D$10,F34,D$10-SUM(E$17:E34))</f>
        <v>353173.49632839864</v>
      </c>
      <c r="E35" s="510">
        <f>IF(+I14&lt;F34,I14,D35)</f>
        <v>18080.970588235294</v>
      </c>
      <c r="F35" s="511">
        <f t="shared" si="10"/>
        <v>335092.52574016334</v>
      </c>
      <c r="G35" s="512">
        <f t="shared" si="11"/>
        <v>54702.624416411738</v>
      </c>
      <c r="H35" s="478">
        <f t="shared" si="12"/>
        <v>54702.624416411738</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2030</v>
      </c>
      <c r="D36" s="509">
        <f>IF(F35+SUM(E$17:E35)=D$10,F35,D$10-SUM(E$17:E35))</f>
        <v>335092.52574016334</v>
      </c>
      <c r="E36" s="510">
        <f>IF(+I14&lt;F35,I14,D36)</f>
        <v>18080.970588235294</v>
      </c>
      <c r="F36" s="511">
        <f t="shared" si="10"/>
        <v>317011.55515192804</v>
      </c>
      <c r="G36" s="512">
        <f t="shared" si="11"/>
        <v>52778.499079613313</v>
      </c>
      <c r="H36" s="478">
        <f t="shared" si="12"/>
        <v>52778.499079613313</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2031</v>
      </c>
      <c r="D37" s="509">
        <f>IF(F36+SUM(E$17:E36)=D$10,F36,D$10-SUM(E$17:E36))</f>
        <v>317011.55515192804</v>
      </c>
      <c r="E37" s="510">
        <f>IF(+I14&lt;F36,I14,D37)</f>
        <v>18080.970588235294</v>
      </c>
      <c r="F37" s="511">
        <f t="shared" si="10"/>
        <v>298930.58456369274</v>
      </c>
      <c r="G37" s="512">
        <f t="shared" si="11"/>
        <v>50854.373742814882</v>
      </c>
      <c r="H37" s="478">
        <f t="shared" si="12"/>
        <v>50854.373742814882</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2032</v>
      </c>
      <c r="D38" s="509">
        <f>IF(F37+SUM(E$17:E37)=D$10,F37,D$10-SUM(E$17:E37))</f>
        <v>298930.58456369274</v>
      </c>
      <c r="E38" s="510">
        <f>IF(+I14&lt;F37,I14,D38)</f>
        <v>18080.970588235294</v>
      </c>
      <c r="F38" s="511">
        <f t="shared" si="10"/>
        <v>280849.61397545744</v>
      </c>
      <c r="G38" s="512">
        <f t="shared" si="11"/>
        <v>48930.248406016457</v>
      </c>
      <c r="H38" s="478">
        <f t="shared" si="12"/>
        <v>48930.248406016457</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2033</v>
      </c>
      <c r="D39" s="509">
        <f>IF(F38+SUM(E$17:E38)=D$10,F38,D$10-SUM(E$17:E38))</f>
        <v>280849.61397545744</v>
      </c>
      <c r="E39" s="510">
        <f>IF(+I14&lt;F38,I14,D39)</f>
        <v>18080.970588235294</v>
      </c>
      <c r="F39" s="511">
        <f t="shared" si="10"/>
        <v>262768.64338722214</v>
      </c>
      <c r="G39" s="512">
        <f t="shared" si="11"/>
        <v>47006.123069218025</v>
      </c>
      <c r="H39" s="478">
        <f t="shared" si="12"/>
        <v>47006.123069218025</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2034</v>
      </c>
      <c r="D40" s="509">
        <f>IF(F39+SUM(E$17:E39)=D$10,F39,D$10-SUM(E$17:E39))</f>
        <v>262768.64338722214</v>
      </c>
      <c r="E40" s="510">
        <f>IF(+I14&lt;F39,I14,D40)</f>
        <v>18080.970588235294</v>
      </c>
      <c r="F40" s="511">
        <f t="shared" si="10"/>
        <v>244687.67279898684</v>
      </c>
      <c r="G40" s="512">
        <f t="shared" si="11"/>
        <v>45081.997732419601</v>
      </c>
      <c r="H40" s="478">
        <f t="shared" si="12"/>
        <v>45081.997732419601</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2035</v>
      </c>
      <c r="D41" s="509">
        <f>IF(F40+SUM(E$17:E40)=D$10,F40,D$10-SUM(E$17:E40))</f>
        <v>244687.67279898684</v>
      </c>
      <c r="E41" s="510">
        <f>IF(+I14&lt;F40,I14,D41)</f>
        <v>18080.970588235294</v>
      </c>
      <c r="F41" s="511">
        <f t="shared" si="10"/>
        <v>226606.70221075154</v>
      </c>
      <c r="G41" s="512">
        <f t="shared" si="11"/>
        <v>43157.872395621176</v>
      </c>
      <c r="H41" s="478">
        <f t="shared" si="12"/>
        <v>43157.872395621176</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2036</v>
      </c>
      <c r="D42" s="509">
        <f>IF(F41+SUM(E$17:E41)=D$10,F41,D$10-SUM(E$17:E41))</f>
        <v>226606.70221075154</v>
      </c>
      <c r="E42" s="510">
        <f>IF(+I14&lt;F41,I14,D42)</f>
        <v>18080.970588235294</v>
      </c>
      <c r="F42" s="511">
        <f t="shared" si="10"/>
        <v>208525.73162251624</v>
      </c>
      <c r="G42" s="512">
        <f t="shared" si="11"/>
        <v>41233.747058822744</v>
      </c>
      <c r="H42" s="478">
        <f t="shared" si="12"/>
        <v>41233.747058822744</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IF(D14="","-",+C42+1)</f>
        <v>2037</v>
      </c>
      <c r="D43" s="509">
        <f>IF(F42+SUM(E$17:E42)=D$10,F42,D$10-SUM(E$17:E42))</f>
        <v>208525.73162251624</v>
      </c>
      <c r="E43" s="510">
        <f>IF(+I14&lt;F42,I14,D43)</f>
        <v>18080.970588235294</v>
      </c>
      <c r="F43" s="511">
        <f t="shared" si="10"/>
        <v>190444.76103428093</v>
      </c>
      <c r="G43" s="512">
        <f t="shared" si="11"/>
        <v>39309.621722024312</v>
      </c>
      <c r="H43" s="478">
        <f t="shared" si="12"/>
        <v>39309.621722024312</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2038</v>
      </c>
      <c r="D44" s="509">
        <f>IF(F43+SUM(E$17:E43)=D$10,F43,D$10-SUM(E$17:E43))</f>
        <v>190444.76103428093</v>
      </c>
      <c r="E44" s="510">
        <f>IF(+I14&lt;F43,I14,D44)</f>
        <v>18080.970588235294</v>
      </c>
      <c r="F44" s="511">
        <f t="shared" si="10"/>
        <v>172363.79044604563</v>
      </c>
      <c r="G44" s="512">
        <f t="shared" si="11"/>
        <v>37385.496385225888</v>
      </c>
      <c r="H44" s="478">
        <f t="shared" si="12"/>
        <v>37385.496385225888</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2039</v>
      </c>
      <c r="D45" s="509">
        <f>IF(F44+SUM(E$17:E44)=D$10,F44,D$10-SUM(E$17:E44))</f>
        <v>172363.79044604563</v>
      </c>
      <c r="E45" s="510">
        <f>IF(+I14&lt;F44,I14,D45)</f>
        <v>18080.970588235294</v>
      </c>
      <c r="F45" s="511">
        <f t="shared" si="10"/>
        <v>154282.81985781033</v>
      </c>
      <c r="G45" s="512">
        <f t="shared" si="11"/>
        <v>35461.371048427463</v>
      </c>
      <c r="H45" s="478">
        <f t="shared" si="12"/>
        <v>35461.371048427463</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2040</v>
      </c>
      <c r="D46" s="509">
        <f>IF(F45+SUM(E$17:E45)=D$10,F45,D$10-SUM(E$17:E45))</f>
        <v>154282.81985781033</v>
      </c>
      <c r="E46" s="510">
        <f>IF(+I14&lt;F45,I14,D46)</f>
        <v>18080.970588235294</v>
      </c>
      <c r="F46" s="511">
        <f t="shared" si="10"/>
        <v>136201.84926957503</v>
      </c>
      <c r="G46" s="512">
        <f t="shared" si="11"/>
        <v>33537.245711629032</v>
      </c>
      <c r="H46" s="478">
        <f t="shared" si="12"/>
        <v>33537.245711629032</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2041</v>
      </c>
      <c r="D47" s="509">
        <f>IF(F46+SUM(E$17:E46)=D$10,F46,D$10-SUM(E$17:E46))</f>
        <v>136201.84926957503</v>
      </c>
      <c r="E47" s="510">
        <f>IF(+I14&lt;F46,I14,D47)</f>
        <v>18080.970588235294</v>
      </c>
      <c r="F47" s="511">
        <f t="shared" si="10"/>
        <v>118120.87868133973</v>
      </c>
      <c r="G47" s="512">
        <f t="shared" si="11"/>
        <v>31613.120374830607</v>
      </c>
      <c r="H47" s="478">
        <f t="shared" si="12"/>
        <v>31613.120374830607</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2042</v>
      </c>
      <c r="D48" s="509">
        <f>IF(F47+SUM(E$17:E47)=D$10,F47,D$10-SUM(E$17:E47))</f>
        <v>118120.87868133973</v>
      </c>
      <c r="E48" s="510">
        <f>IF(+I14&lt;F47,I14,D48)</f>
        <v>18080.970588235294</v>
      </c>
      <c r="F48" s="511">
        <f t="shared" si="10"/>
        <v>100039.90809310443</v>
      </c>
      <c r="G48" s="512">
        <f t="shared" si="11"/>
        <v>29688.995038032175</v>
      </c>
      <c r="H48" s="478">
        <f t="shared" si="12"/>
        <v>29688.995038032175</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2043</v>
      </c>
      <c r="D49" s="509">
        <f>IF(F48+SUM(E$17:E48)=D$10,F48,D$10-SUM(E$17:E48))</f>
        <v>100039.90809310443</v>
      </c>
      <c r="E49" s="510">
        <f>IF(+I14&lt;F48,I14,D49)</f>
        <v>18080.970588235294</v>
      </c>
      <c r="F49" s="511">
        <f t="shared" si="10"/>
        <v>81958.937504869129</v>
      </c>
      <c r="G49" s="512">
        <f t="shared" si="11"/>
        <v>27764.869701233751</v>
      </c>
      <c r="H49" s="478">
        <f t="shared" si="12"/>
        <v>27764.869701233751</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13">IF(D50=F49,"","IU")</f>
        <v/>
      </c>
      <c r="C50" s="496">
        <f>IF(D11="","-",+C49+1)</f>
        <v>2044</v>
      </c>
      <c r="D50" s="509">
        <f>IF(F49+SUM(E$17:E49)=D$10,F49,D$10-SUM(E$17:E49))</f>
        <v>81958.937504869129</v>
      </c>
      <c r="E50" s="510">
        <f>IF(+I14&lt;F49,I14,D50)</f>
        <v>18080.970588235294</v>
      </c>
      <c r="F50" s="511">
        <f t="shared" si="10"/>
        <v>63877.966916633835</v>
      </c>
      <c r="G50" s="512">
        <f t="shared" si="11"/>
        <v>25840.744364435319</v>
      </c>
      <c r="H50" s="478">
        <f t="shared" si="12"/>
        <v>25840.744364435319</v>
      </c>
      <c r="I50" s="501">
        <f t="shared" ref="I50:I73" si="14">H50-G50</f>
        <v>0</v>
      </c>
      <c r="J50" s="501"/>
      <c r="K50" s="513"/>
      <c r="L50" s="505">
        <f t="shared" ref="L50:L73" si="15">IF(K50&lt;&gt;0,+G50-K50,0)</f>
        <v>0</v>
      </c>
      <c r="M50" s="513"/>
      <c r="N50" s="505">
        <f t="shared" ref="N50:N73" si="16">IF(M50&lt;&gt;0,+H50-M50,0)</f>
        <v>0</v>
      </c>
      <c r="O50" s="505">
        <f t="shared" ref="O50:O73" si="17">+N50-L50</f>
        <v>0</v>
      </c>
      <c r="P50" s="279"/>
      <c r="R50" s="244"/>
      <c r="S50" s="244"/>
      <c r="T50" s="244"/>
      <c r="U50" s="244"/>
    </row>
    <row r="51" spans="2:21" ht="12.5">
      <c r="B51" s="145" t="str">
        <f t="shared" si="13"/>
        <v/>
      </c>
      <c r="C51" s="496">
        <f>IF(D11="","-",+C50+1)</f>
        <v>2045</v>
      </c>
      <c r="D51" s="509">
        <f>IF(F50+SUM(E$17:E50)=D$10,F50,D$10-SUM(E$17:E50))</f>
        <v>63877.966916633835</v>
      </c>
      <c r="E51" s="510">
        <f>IF(+I14&lt;F50,I14,D51)</f>
        <v>18080.970588235294</v>
      </c>
      <c r="F51" s="511">
        <f t="shared" ref="F51:F73" si="18">+D51-E51</f>
        <v>45796.996328398542</v>
      </c>
      <c r="G51" s="512">
        <f t="shared" si="11"/>
        <v>23916.619027636894</v>
      </c>
      <c r="H51" s="478">
        <f t="shared" si="12"/>
        <v>23916.619027636894</v>
      </c>
      <c r="I51" s="501">
        <f t="shared" si="14"/>
        <v>0</v>
      </c>
      <c r="J51" s="501"/>
      <c r="K51" s="513"/>
      <c r="L51" s="505">
        <f t="shared" si="15"/>
        <v>0</v>
      </c>
      <c r="M51" s="513"/>
      <c r="N51" s="505">
        <f t="shared" si="16"/>
        <v>0</v>
      </c>
      <c r="O51" s="505">
        <f t="shared" si="17"/>
        <v>0</v>
      </c>
      <c r="P51" s="279"/>
      <c r="R51" s="244"/>
      <c r="S51" s="244"/>
      <c r="T51" s="244"/>
      <c r="U51" s="244"/>
    </row>
    <row r="52" spans="2:21" ht="12.5">
      <c r="B52" s="145" t="str">
        <f t="shared" si="13"/>
        <v/>
      </c>
      <c r="C52" s="496">
        <f>IF(D11="","-",+C51+1)</f>
        <v>2046</v>
      </c>
      <c r="D52" s="509">
        <f>IF(F51+SUM(E$17:E51)=D$10,F51,D$10-SUM(E$17:E51))</f>
        <v>45796.996328398542</v>
      </c>
      <c r="E52" s="510">
        <f>IF(+I14&lt;F51,I14,D52)</f>
        <v>18080.970588235294</v>
      </c>
      <c r="F52" s="511">
        <f t="shared" si="18"/>
        <v>27716.025740163248</v>
      </c>
      <c r="G52" s="512">
        <f t="shared" si="11"/>
        <v>21992.493690838466</v>
      </c>
      <c r="H52" s="478">
        <f t="shared" si="12"/>
        <v>21992.493690838466</v>
      </c>
      <c r="I52" s="501">
        <f t="shared" si="14"/>
        <v>0</v>
      </c>
      <c r="J52" s="501"/>
      <c r="K52" s="513"/>
      <c r="L52" s="505">
        <f t="shared" si="15"/>
        <v>0</v>
      </c>
      <c r="M52" s="513"/>
      <c r="N52" s="505">
        <f t="shared" si="16"/>
        <v>0</v>
      </c>
      <c r="O52" s="505">
        <f t="shared" si="17"/>
        <v>0</v>
      </c>
      <c r="P52" s="279"/>
      <c r="R52" s="244"/>
      <c r="S52" s="244"/>
      <c r="T52" s="244"/>
      <c r="U52" s="244"/>
    </row>
    <row r="53" spans="2:21" ht="12.5">
      <c r="B53" s="145" t="str">
        <f t="shared" si="13"/>
        <v/>
      </c>
      <c r="C53" s="496">
        <f>IF(D11="","-",+C52+1)</f>
        <v>2047</v>
      </c>
      <c r="D53" s="509">
        <f>IF(F52+SUM(E$17:E52)=D$10,F52,D$10-SUM(E$17:E52))</f>
        <v>27716.025740163248</v>
      </c>
      <c r="E53" s="510">
        <f>IF(+I14&lt;F52,I14,D53)</f>
        <v>18080.970588235294</v>
      </c>
      <c r="F53" s="511">
        <f t="shared" si="18"/>
        <v>9635.0551519279543</v>
      </c>
      <c r="G53" s="512">
        <f t="shared" si="11"/>
        <v>20068.368354040038</v>
      </c>
      <c r="H53" s="478">
        <f t="shared" si="12"/>
        <v>20068.368354040038</v>
      </c>
      <c r="I53" s="501">
        <f t="shared" si="14"/>
        <v>0</v>
      </c>
      <c r="J53" s="501"/>
      <c r="K53" s="513"/>
      <c r="L53" s="505">
        <f t="shared" si="15"/>
        <v>0</v>
      </c>
      <c r="M53" s="513"/>
      <c r="N53" s="505">
        <f t="shared" si="16"/>
        <v>0</v>
      </c>
      <c r="O53" s="505">
        <f t="shared" si="17"/>
        <v>0</v>
      </c>
      <c r="P53" s="279"/>
      <c r="R53" s="244"/>
      <c r="S53" s="244"/>
      <c r="T53" s="244"/>
      <c r="U53" s="244"/>
    </row>
    <row r="54" spans="2:21" ht="12.5">
      <c r="B54" s="145" t="str">
        <f t="shared" si="13"/>
        <v/>
      </c>
      <c r="C54" s="496">
        <f>IF(D11="","-",+C53+1)</f>
        <v>2048</v>
      </c>
      <c r="D54" s="509">
        <f>IF(F53+SUM(E$17:E53)=D$10,F53,D$10-SUM(E$17:E53))</f>
        <v>9635.0551519279543</v>
      </c>
      <c r="E54" s="510">
        <f>IF(+I14&lt;F53,I14,D54)</f>
        <v>9635.0551519279543</v>
      </c>
      <c r="F54" s="511">
        <f t="shared" si="18"/>
        <v>0</v>
      </c>
      <c r="G54" s="512">
        <f t="shared" si="11"/>
        <v>10147.72270063072</v>
      </c>
      <c r="H54" s="478">
        <f t="shared" si="12"/>
        <v>10147.72270063072</v>
      </c>
      <c r="I54" s="501">
        <f t="shared" si="14"/>
        <v>0</v>
      </c>
      <c r="J54" s="501"/>
      <c r="K54" s="513"/>
      <c r="L54" s="505">
        <f t="shared" si="15"/>
        <v>0</v>
      </c>
      <c r="M54" s="513"/>
      <c r="N54" s="505">
        <f t="shared" si="16"/>
        <v>0</v>
      </c>
      <c r="O54" s="505">
        <f t="shared" si="17"/>
        <v>0</v>
      </c>
      <c r="P54" s="279"/>
      <c r="R54" s="244"/>
      <c r="S54" s="244"/>
      <c r="T54" s="244"/>
      <c r="U54" s="244"/>
    </row>
    <row r="55" spans="2:21" ht="12.5">
      <c r="B55" s="145" t="str">
        <f t="shared" si="13"/>
        <v/>
      </c>
      <c r="C55" s="496">
        <f>IF(D11="","-",+C54+1)</f>
        <v>2049</v>
      </c>
      <c r="D55" s="509">
        <f>IF(F54+SUM(E$17:E54)=D$10,F54,D$10-SUM(E$17:E54))</f>
        <v>0</v>
      </c>
      <c r="E55" s="510">
        <f>IF(+I14&lt;F54,I14,D55)</f>
        <v>0</v>
      </c>
      <c r="F55" s="511">
        <f t="shared" si="18"/>
        <v>0</v>
      </c>
      <c r="G55" s="512">
        <f t="shared" si="11"/>
        <v>0</v>
      </c>
      <c r="H55" s="478">
        <f t="shared" si="12"/>
        <v>0</v>
      </c>
      <c r="I55" s="501">
        <f t="shared" si="14"/>
        <v>0</v>
      </c>
      <c r="J55" s="501"/>
      <c r="K55" s="513"/>
      <c r="L55" s="505">
        <f t="shared" si="15"/>
        <v>0</v>
      </c>
      <c r="M55" s="513"/>
      <c r="N55" s="505">
        <f t="shared" si="16"/>
        <v>0</v>
      </c>
      <c r="O55" s="505">
        <f t="shared" si="17"/>
        <v>0</v>
      </c>
      <c r="P55" s="279"/>
      <c r="R55" s="244"/>
      <c r="S55" s="244"/>
      <c r="T55" s="244"/>
      <c r="U55" s="244"/>
    </row>
    <row r="56" spans="2:21" ht="12.5">
      <c r="B56" s="145" t="str">
        <f t="shared" si="13"/>
        <v/>
      </c>
      <c r="C56" s="496">
        <f>IF(D11="","-",+C55+1)</f>
        <v>2050</v>
      </c>
      <c r="D56" s="509">
        <f>IF(F55+SUM(E$17:E55)=D$10,F55,D$10-SUM(E$17:E55))</f>
        <v>0</v>
      </c>
      <c r="E56" s="510">
        <f>IF(+I14&lt;F55,I14,D56)</f>
        <v>0</v>
      </c>
      <c r="F56" s="511">
        <f t="shared" si="18"/>
        <v>0</v>
      </c>
      <c r="G56" s="512">
        <f t="shared" si="11"/>
        <v>0</v>
      </c>
      <c r="H56" s="478">
        <f t="shared" si="12"/>
        <v>0</v>
      </c>
      <c r="I56" s="501">
        <f t="shared" si="14"/>
        <v>0</v>
      </c>
      <c r="J56" s="501"/>
      <c r="K56" s="513"/>
      <c r="L56" s="505">
        <f t="shared" si="15"/>
        <v>0</v>
      </c>
      <c r="M56" s="513"/>
      <c r="N56" s="505">
        <f t="shared" si="16"/>
        <v>0</v>
      </c>
      <c r="O56" s="505">
        <f t="shared" si="17"/>
        <v>0</v>
      </c>
      <c r="P56" s="279"/>
      <c r="R56" s="244"/>
      <c r="S56" s="244"/>
      <c r="T56" s="244"/>
      <c r="U56" s="244"/>
    </row>
    <row r="57" spans="2:21" ht="12.5">
      <c r="B57" s="145" t="str">
        <f t="shared" si="13"/>
        <v/>
      </c>
      <c r="C57" s="496">
        <f>IF(D11="","-",+C56+1)</f>
        <v>2051</v>
      </c>
      <c r="D57" s="509">
        <f>IF(F56+SUM(E$17:E56)=D$10,F56,D$10-SUM(E$17:E56))</f>
        <v>0</v>
      </c>
      <c r="E57" s="510">
        <f>IF(+I14&lt;F56,I14,D57)</f>
        <v>0</v>
      </c>
      <c r="F57" s="511">
        <f t="shared" si="18"/>
        <v>0</v>
      </c>
      <c r="G57" s="512">
        <f t="shared" si="11"/>
        <v>0</v>
      </c>
      <c r="H57" s="478">
        <f t="shared" si="12"/>
        <v>0</v>
      </c>
      <c r="I57" s="501">
        <f t="shared" si="14"/>
        <v>0</v>
      </c>
      <c r="J57" s="501"/>
      <c r="K57" s="513"/>
      <c r="L57" s="505">
        <f t="shared" si="15"/>
        <v>0</v>
      </c>
      <c r="M57" s="513"/>
      <c r="N57" s="505">
        <f t="shared" si="16"/>
        <v>0</v>
      </c>
      <c r="O57" s="505">
        <f t="shared" si="17"/>
        <v>0</v>
      </c>
      <c r="P57" s="279"/>
      <c r="R57" s="244"/>
      <c r="S57" s="244"/>
      <c r="T57" s="244"/>
      <c r="U57" s="244"/>
    </row>
    <row r="58" spans="2:21" ht="12.5">
      <c r="B58" s="145" t="str">
        <f t="shared" si="13"/>
        <v/>
      </c>
      <c r="C58" s="496">
        <f>IF(D11="","-",+C57+1)</f>
        <v>2052</v>
      </c>
      <c r="D58" s="509">
        <f>IF(F57+SUM(E$17:E57)=D$10,F57,D$10-SUM(E$17:E57))</f>
        <v>0</v>
      </c>
      <c r="E58" s="510">
        <f>IF(+I14&lt;F57,I14,D58)</f>
        <v>0</v>
      </c>
      <c r="F58" s="511">
        <f t="shared" si="18"/>
        <v>0</v>
      </c>
      <c r="G58" s="512">
        <f t="shared" si="11"/>
        <v>0</v>
      </c>
      <c r="H58" s="478">
        <f t="shared" si="12"/>
        <v>0</v>
      </c>
      <c r="I58" s="501">
        <f t="shared" si="14"/>
        <v>0</v>
      </c>
      <c r="J58" s="501"/>
      <c r="K58" s="513"/>
      <c r="L58" s="505">
        <f t="shared" si="15"/>
        <v>0</v>
      </c>
      <c r="M58" s="513"/>
      <c r="N58" s="505">
        <f t="shared" si="16"/>
        <v>0</v>
      </c>
      <c r="O58" s="505">
        <f t="shared" si="17"/>
        <v>0</v>
      </c>
      <c r="P58" s="279"/>
      <c r="R58" s="244"/>
      <c r="S58" s="244"/>
      <c r="T58" s="244"/>
      <c r="U58" s="244"/>
    </row>
    <row r="59" spans="2:21" ht="12.5">
      <c r="B59" s="145" t="str">
        <f t="shared" si="13"/>
        <v/>
      </c>
      <c r="C59" s="496">
        <f>IF(D11="","-",+C58+1)</f>
        <v>2053</v>
      </c>
      <c r="D59" s="509">
        <f>IF(F58+SUM(E$17:E58)=D$10,F58,D$10-SUM(E$17:E58))</f>
        <v>0</v>
      </c>
      <c r="E59" s="510">
        <f>IF(+I14&lt;F58,I14,D59)</f>
        <v>0</v>
      </c>
      <c r="F59" s="511">
        <f t="shared" si="18"/>
        <v>0</v>
      </c>
      <c r="G59" s="512">
        <f t="shared" si="11"/>
        <v>0</v>
      </c>
      <c r="H59" s="478">
        <f t="shared" si="12"/>
        <v>0</v>
      </c>
      <c r="I59" s="501">
        <f t="shared" si="14"/>
        <v>0</v>
      </c>
      <c r="J59" s="501"/>
      <c r="K59" s="513"/>
      <c r="L59" s="505">
        <f t="shared" si="15"/>
        <v>0</v>
      </c>
      <c r="M59" s="513"/>
      <c r="N59" s="505">
        <f t="shared" si="16"/>
        <v>0</v>
      </c>
      <c r="O59" s="505">
        <f t="shared" si="17"/>
        <v>0</v>
      </c>
      <c r="P59" s="279"/>
      <c r="R59" s="244"/>
      <c r="S59" s="244"/>
      <c r="T59" s="244"/>
      <c r="U59" s="244"/>
    </row>
    <row r="60" spans="2:21" ht="12.5">
      <c r="B60" s="145" t="str">
        <f t="shared" si="13"/>
        <v/>
      </c>
      <c r="C60" s="496">
        <f>IF(D11="","-",+C59+1)</f>
        <v>2054</v>
      </c>
      <c r="D60" s="509">
        <f>IF(F59+SUM(E$17:E59)=D$10,F59,D$10-SUM(E$17:E59))</f>
        <v>0</v>
      </c>
      <c r="E60" s="510">
        <f>IF(+I14&lt;F59,I14,D60)</f>
        <v>0</v>
      </c>
      <c r="F60" s="511">
        <f t="shared" si="18"/>
        <v>0</v>
      </c>
      <c r="G60" s="512">
        <f t="shared" si="11"/>
        <v>0</v>
      </c>
      <c r="H60" s="478">
        <f t="shared" si="12"/>
        <v>0</v>
      </c>
      <c r="I60" s="501">
        <f t="shared" si="14"/>
        <v>0</v>
      </c>
      <c r="J60" s="501"/>
      <c r="K60" s="513"/>
      <c r="L60" s="505">
        <f t="shared" si="15"/>
        <v>0</v>
      </c>
      <c r="M60" s="513"/>
      <c r="N60" s="505">
        <f t="shared" si="16"/>
        <v>0</v>
      </c>
      <c r="O60" s="505">
        <f t="shared" si="17"/>
        <v>0</v>
      </c>
      <c r="P60" s="279"/>
      <c r="R60" s="244"/>
      <c r="S60" s="244"/>
      <c r="T60" s="244"/>
      <c r="U60" s="244"/>
    </row>
    <row r="61" spans="2:21" ht="12.5">
      <c r="B61" s="145" t="str">
        <f t="shared" si="13"/>
        <v/>
      </c>
      <c r="C61" s="496">
        <f>IF(D11="","-",+C60+1)</f>
        <v>2055</v>
      </c>
      <c r="D61" s="509">
        <f>IF(F60+SUM(E$17:E60)=D$10,F60,D$10-SUM(E$17:E60))</f>
        <v>0</v>
      </c>
      <c r="E61" s="510">
        <f>IF(+I14&lt;F60,I14,D61)</f>
        <v>0</v>
      </c>
      <c r="F61" s="511">
        <f t="shared" si="18"/>
        <v>0</v>
      </c>
      <c r="G61" s="512">
        <f t="shared" si="11"/>
        <v>0</v>
      </c>
      <c r="H61" s="478">
        <f t="shared" si="12"/>
        <v>0</v>
      </c>
      <c r="I61" s="501">
        <f t="shared" si="14"/>
        <v>0</v>
      </c>
      <c r="J61" s="501"/>
      <c r="K61" s="513"/>
      <c r="L61" s="505">
        <f t="shared" si="15"/>
        <v>0</v>
      </c>
      <c r="M61" s="513"/>
      <c r="N61" s="505">
        <f t="shared" si="16"/>
        <v>0</v>
      </c>
      <c r="O61" s="505">
        <f t="shared" si="17"/>
        <v>0</v>
      </c>
      <c r="P61" s="279"/>
      <c r="R61" s="244"/>
      <c r="S61" s="244"/>
      <c r="T61" s="244"/>
      <c r="U61" s="244"/>
    </row>
    <row r="62" spans="2:21" ht="12.5">
      <c r="B62" s="145" t="str">
        <f t="shared" si="13"/>
        <v/>
      </c>
      <c r="C62" s="496">
        <f>IF(D11="","-",+C61+1)</f>
        <v>2056</v>
      </c>
      <c r="D62" s="509">
        <f>IF(F61+SUM(E$17:E61)=D$10,F61,D$10-SUM(E$17:E61))</f>
        <v>0</v>
      </c>
      <c r="E62" s="510">
        <f>IF(+I14&lt;F61,I14,D62)</f>
        <v>0</v>
      </c>
      <c r="F62" s="511">
        <f t="shared" si="18"/>
        <v>0</v>
      </c>
      <c r="G62" s="524">
        <f t="shared" si="11"/>
        <v>0</v>
      </c>
      <c r="H62" s="478">
        <f t="shared" si="12"/>
        <v>0</v>
      </c>
      <c r="I62" s="501">
        <f t="shared" si="14"/>
        <v>0</v>
      </c>
      <c r="J62" s="501"/>
      <c r="K62" s="513"/>
      <c r="L62" s="505">
        <f t="shared" si="15"/>
        <v>0</v>
      </c>
      <c r="M62" s="513"/>
      <c r="N62" s="505">
        <f t="shared" si="16"/>
        <v>0</v>
      </c>
      <c r="O62" s="505">
        <f t="shared" si="17"/>
        <v>0</v>
      </c>
      <c r="P62" s="279"/>
      <c r="R62" s="244"/>
      <c r="S62" s="244"/>
      <c r="T62" s="244"/>
      <c r="U62" s="244"/>
    </row>
    <row r="63" spans="2:21" ht="12.5">
      <c r="B63" s="145" t="str">
        <f t="shared" si="13"/>
        <v/>
      </c>
      <c r="C63" s="496">
        <f>IF(D11="","-",+C62+1)</f>
        <v>2057</v>
      </c>
      <c r="D63" s="509">
        <f>IF(F62+SUM(E$17:E62)=D$10,F62,D$10-SUM(E$17:E62))</f>
        <v>0</v>
      </c>
      <c r="E63" s="510">
        <f>IF(+I14&lt;F62,I14,D63)</f>
        <v>0</v>
      </c>
      <c r="F63" s="511">
        <f t="shared" si="18"/>
        <v>0</v>
      </c>
      <c r="G63" s="524">
        <f t="shared" si="11"/>
        <v>0</v>
      </c>
      <c r="H63" s="478">
        <f t="shared" si="12"/>
        <v>0</v>
      </c>
      <c r="I63" s="501">
        <f t="shared" si="14"/>
        <v>0</v>
      </c>
      <c r="J63" s="501"/>
      <c r="K63" s="513"/>
      <c r="L63" s="505">
        <f t="shared" si="15"/>
        <v>0</v>
      </c>
      <c r="M63" s="513"/>
      <c r="N63" s="505">
        <f t="shared" si="16"/>
        <v>0</v>
      </c>
      <c r="O63" s="505">
        <f t="shared" si="17"/>
        <v>0</v>
      </c>
      <c r="P63" s="279"/>
      <c r="R63" s="244"/>
      <c r="S63" s="244"/>
      <c r="T63" s="244"/>
      <c r="U63" s="244"/>
    </row>
    <row r="64" spans="2:21" ht="12.5">
      <c r="B64" s="145" t="str">
        <f t="shared" si="13"/>
        <v/>
      </c>
      <c r="C64" s="496">
        <f>IF(D11="","-",+C63+1)</f>
        <v>2058</v>
      </c>
      <c r="D64" s="509">
        <f>IF(F63+SUM(E$17:E63)=D$10,F63,D$10-SUM(E$17:E63))</f>
        <v>0</v>
      </c>
      <c r="E64" s="510">
        <f>IF(+I14&lt;F63,I14,D64)</f>
        <v>0</v>
      </c>
      <c r="F64" s="511">
        <f t="shared" si="18"/>
        <v>0</v>
      </c>
      <c r="G64" s="524">
        <f t="shared" si="11"/>
        <v>0</v>
      </c>
      <c r="H64" s="478">
        <f t="shared" si="12"/>
        <v>0</v>
      </c>
      <c r="I64" s="501">
        <f t="shared" si="14"/>
        <v>0</v>
      </c>
      <c r="J64" s="501"/>
      <c r="K64" s="513"/>
      <c r="L64" s="505">
        <f t="shared" si="15"/>
        <v>0</v>
      </c>
      <c r="M64" s="513"/>
      <c r="N64" s="505">
        <f t="shared" si="16"/>
        <v>0</v>
      </c>
      <c r="O64" s="505">
        <f t="shared" si="17"/>
        <v>0</v>
      </c>
      <c r="P64" s="279"/>
      <c r="R64" s="244"/>
      <c r="S64" s="244"/>
      <c r="T64" s="244"/>
      <c r="U64" s="244"/>
    </row>
    <row r="65" spans="2:21" ht="12.5">
      <c r="B65" s="145" t="str">
        <f t="shared" si="13"/>
        <v/>
      </c>
      <c r="C65" s="496">
        <f>IF(D11="","-",+C64+1)</f>
        <v>2059</v>
      </c>
      <c r="D65" s="509">
        <f>IF(F64+SUM(E$17:E64)=D$10,F64,D$10-SUM(E$17:E64))</f>
        <v>0</v>
      </c>
      <c r="E65" s="510">
        <f>IF(+I14&lt;F64,I14,D65)</f>
        <v>0</v>
      </c>
      <c r="F65" s="511">
        <f t="shared" si="18"/>
        <v>0</v>
      </c>
      <c r="G65" s="524">
        <f t="shared" si="11"/>
        <v>0</v>
      </c>
      <c r="H65" s="478">
        <f t="shared" si="12"/>
        <v>0</v>
      </c>
      <c r="I65" s="501">
        <f t="shared" si="14"/>
        <v>0</v>
      </c>
      <c r="J65" s="501"/>
      <c r="K65" s="513"/>
      <c r="L65" s="505">
        <f t="shared" si="15"/>
        <v>0</v>
      </c>
      <c r="M65" s="513"/>
      <c r="N65" s="505">
        <f t="shared" si="16"/>
        <v>0</v>
      </c>
      <c r="O65" s="505">
        <f t="shared" si="17"/>
        <v>0</v>
      </c>
      <c r="P65" s="279"/>
      <c r="R65" s="244"/>
      <c r="S65" s="244"/>
      <c r="T65" s="244"/>
      <c r="U65" s="244"/>
    </row>
    <row r="66" spans="2:21" ht="12.5">
      <c r="B66" s="145" t="str">
        <f t="shared" si="13"/>
        <v/>
      </c>
      <c r="C66" s="496">
        <f>IF(D11="","-",+C65+1)</f>
        <v>2060</v>
      </c>
      <c r="D66" s="509">
        <f>IF(F65+SUM(E$17:E65)=D$10,F65,D$10-SUM(E$17:E65))</f>
        <v>0</v>
      </c>
      <c r="E66" s="510">
        <f>IF(+I14&lt;F65,I14,D66)</f>
        <v>0</v>
      </c>
      <c r="F66" s="511">
        <f t="shared" si="18"/>
        <v>0</v>
      </c>
      <c r="G66" s="524">
        <f t="shared" si="11"/>
        <v>0</v>
      </c>
      <c r="H66" s="478">
        <f t="shared" si="12"/>
        <v>0</v>
      </c>
      <c r="I66" s="501">
        <f t="shared" si="14"/>
        <v>0</v>
      </c>
      <c r="J66" s="501"/>
      <c r="K66" s="513"/>
      <c r="L66" s="505">
        <f t="shared" si="15"/>
        <v>0</v>
      </c>
      <c r="M66" s="513"/>
      <c r="N66" s="505">
        <f t="shared" si="16"/>
        <v>0</v>
      </c>
      <c r="O66" s="505">
        <f t="shared" si="17"/>
        <v>0</v>
      </c>
      <c r="P66" s="279"/>
      <c r="R66" s="244"/>
      <c r="S66" s="244"/>
      <c r="T66" s="244"/>
      <c r="U66" s="244"/>
    </row>
    <row r="67" spans="2:21" ht="12.5">
      <c r="B67" s="145" t="str">
        <f t="shared" si="13"/>
        <v/>
      </c>
      <c r="C67" s="496">
        <f>IF(D11="","-",+C66+1)</f>
        <v>2061</v>
      </c>
      <c r="D67" s="509">
        <f>IF(F66+SUM(E$17:E66)=D$10,F66,D$10-SUM(E$17:E66))</f>
        <v>0</v>
      </c>
      <c r="E67" s="510">
        <f>IF(+I14&lt;F66,I14,D67)</f>
        <v>0</v>
      </c>
      <c r="F67" s="511">
        <f t="shared" si="18"/>
        <v>0</v>
      </c>
      <c r="G67" s="524">
        <f t="shared" si="11"/>
        <v>0</v>
      </c>
      <c r="H67" s="478">
        <f t="shared" si="12"/>
        <v>0</v>
      </c>
      <c r="I67" s="501">
        <f t="shared" si="14"/>
        <v>0</v>
      </c>
      <c r="J67" s="501"/>
      <c r="K67" s="513"/>
      <c r="L67" s="505">
        <f t="shared" si="15"/>
        <v>0</v>
      </c>
      <c r="M67" s="513"/>
      <c r="N67" s="505">
        <f t="shared" si="16"/>
        <v>0</v>
      </c>
      <c r="O67" s="505">
        <f t="shared" si="17"/>
        <v>0</v>
      </c>
      <c r="P67" s="279"/>
      <c r="R67" s="244"/>
      <c r="S67" s="244"/>
      <c r="T67" s="244"/>
      <c r="U67" s="244"/>
    </row>
    <row r="68" spans="2:21" ht="12.5">
      <c r="B68" s="145" t="str">
        <f t="shared" si="13"/>
        <v/>
      </c>
      <c r="C68" s="496">
        <f>IF(D11="","-",+C67+1)</f>
        <v>2062</v>
      </c>
      <c r="D68" s="509">
        <f>IF(F67+SUM(E$17:E67)=D$10,F67,D$10-SUM(E$17:E67))</f>
        <v>0</v>
      </c>
      <c r="E68" s="510">
        <f>IF(+I14&lt;F67,I14,D68)</f>
        <v>0</v>
      </c>
      <c r="F68" s="511">
        <f t="shared" si="18"/>
        <v>0</v>
      </c>
      <c r="G68" s="524">
        <f t="shared" si="11"/>
        <v>0</v>
      </c>
      <c r="H68" s="478">
        <f t="shared" si="12"/>
        <v>0</v>
      </c>
      <c r="I68" s="501">
        <f t="shared" si="14"/>
        <v>0</v>
      </c>
      <c r="J68" s="501"/>
      <c r="K68" s="513"/>
      <c r="L68" s="505">
        <f t="shared" si="15"/>
        <v>0</v>
      </c>
      <c r="M68" s="513"/>
      <c r="N68" s="505">
        <f t="shared" si="16"/>
        <v>0</v>
      </c>
      <c r="O68" s="505">
        <f t="shared" si="17"/>
        <v>0</v>
      </c>
      <c r="P68" s="279"/>
      <c r="R68" s="244"/>
      <c r="S68" s="244"/>
      <c r="T68" s="244"/>
      <c r="U68" s="244"/>
    </row>
    <row r="69" spans="2:21" ht="12.5">
      <c r="B69" s="145" t="str">
        <f t="shared" si="13"/>
        <v/>
      </c>
      <c r="C69" s="496">
        <f>IF(D11="","-",+C68+1)</f>
        <v>2063</v>
      </c>
      <c r="D69" s="509">
        <f>IF(F68+SUM(E$17:E68)=D$10,F68,D$10-SUM(E$17:E68))</f>
        <v>0</v>
      </c>
      <c r="E69" s="510">
        <f>IF(+I14&lt;F68,I14,D69)</f>
        <v>0</v>
      </c>
      <c r="F69" s="511">
        <f t="shared" si="18"/>
        <v>0</v>
      </c>
      <c r="G69" s="524">
        <f t="shared" si="11"/>
        <v>0</v>
      </c>
      <c r="H69" s="478">
        <f t="shared" si="12"/>
        <v>0</v>
      </c>
      <c r="I69" s="501">
        <f t="shared" si="14"/>
        <v>0</v>
      </c>
      <c r="J69" s="501"/>
      <c r="K69" s="513"/>
      <c r="L69" s="505">
        <f t="shared" si="15"/>
        <v>0</v>
      </c>
      <c r="M69" s="513"/>
      <c r="N69" s="505">
        <f t="shared" si="16"/>
        <v>0</v>
      </c>
      <c r="O69" s="505">
        <f t="shared" si="17"/>
        <v>0</v>
      </c>
      <c r="P69" s="279"/>
      <c r="R69" s="244"/>
      <c r="S69" s="244"/>
      <c r="T69" s="244"/>
      <c r="U69" s="244"/>
    </row>
    <row r="70" spans="2:21" ht="12.5">
      <c r="B70" s="145" t="str">
        <f t="shared" si="13"/>
        <v/>
      </c>
      <c r="C70" s="496">
        <f>IF(D11="","-",+C69+1)</f>
        <v>2064</v>
      </c>
      <c r="D70" s="509">
        <f>IF(F69+SUM(E$17:E69)=D$10,F69,D$10-SUM(E$17:E69))</f>
        <v>0</v>
      </c>
      <c r="E70" s="510">
        <f>IF(+I14&lt;F69,I14,D70)</f>
        <v>0</v>
      </c>
      <c r="F70" s="511">
        <f t="shared" si="18"/>
        <v>0</v>
      </c>
      <c r="G70" s="524">
        <f t="shared" si="11"/>
        <v>0</v>
      </c>
      <c r="H70" s="478">
        <f t="shared" si="12"/>
        <v>0</v>
      </c>
      <c r="I70" s="501">
        <f t="shared" si="14"/>
        <v>0</v>
      </c>
      <c r="J70" s="501"/>
      <c r="K70" s="513"/>
      <c r="L70" s="505">
        <f t="shared" si="15"/>
        <v>0</v>
      </c>
      <c r="M70" s="513"/>
      <c r="N70" s="505">
        <f t="shared" si="16"/>
        <v>0</v>
      </c>
      <c r="O70" s="505">
        <f t="shared" si="17"/>
        <v>0</v>
      </c>
      <c r="P70" s="279"/>
      <c r="R70" s="244"/>
      <c r="S70" s="244"/>
      <c r="T70" s="244"/>
      <c r="U70" s="244"/>
    </row>
    <row r="71" spans="2:21" ht="12.5">
      <c r="B71" s="145" t="str">
        <f t="shared" si="13"/>
        <v/>
      </c>
      <c r="C71" s="496">
        <f>IF(D11="","-",+C70+1)</f>
        <v>2065</v>
      </c>
      <c r="D71" s="509">
        <f>IF(F70+SUM(E$17:E70)=D$10,F70,D$10-SUM(E$17:E70))</f>
        <v>0</v>
      </c>
      <c r="E71" s="510">
        <f>IF(+I14&lt;F70,I14,D71)</f>
        <v>0</v>
      </c>
      <c r="F71" s="511">
        <f t="shared" si="18"/>
        <v>0</v>
      </c>
      <c r="G71" s="524">
        <f t="shared" si="11"/>
        <v>0</v>
      </c>
      <c r="H71" s="478">
        <f t="shared" si="12"/>
        <v>0</v>
      </c>
      <c r="I71" s="501">
        <f t="shared" si="14"/>
        <v>0</v>
      </c>
      <c r="J71" s="501"/>
      <c r="K71" s="513"/>
      <c r="L71" s="505">
        <f t="shared" si="15"/>
        <v>0</v>
      </c>
      <c r="M71" s="513"/>
      <c r="N71" s="505">
        <f t="shared" si="16"/>
        <v>0</v>
      </c>
      <c r="O71" s="505">
        <f t="shared" si="17"/>
        <v>0</v>
      </c>
      <c r="P71" s="279"/>
      <c r="R71" s="244"/>
      <c r="S71" s="244"/>
      <c r="T71" s="244"/>
      <c r="U71" s="244"/>
    </row>
    <row r="72" spans="2:21" ht="12.5">
      <c r="B72" s="145" t="str">
        <f t="shared" si="13"/>
        <v/>
      </c>
      <c r="C72" s="496">
        <f>IF(D11="","-",+C71+1)</f>
        <v>2066</v>
      </c>
      <c r="D72" s="509">
        <f>IF(F71+SUM(E$17:E71)=D$10,F71,D$10-SUM(E$17:E71))</f>
        <v>0</v>
      </c>
      <c r="E72" s="510">
        <f>IF(+I14&lt;F71,I14,D72)</f>
        <v>0</v>
      </c>
      <c r="F72" s="511">
        <f t="shared" si="18"/>
        <v>0</v>
      </c>
      <c r="G72" s="524">
        <f t="shared" si="11"/>
        <v>0</v>
      </c>
      <c r="H72" s="478">
        <f t="shared" si="12"/>
        <v>0</v>
      </c>
      <c r="I72" s="501">
        <f t="shared" si="14"/>
        <v>0</v>
      </c>
      <c r="J72" s="501"/>
      <c r="K72" s="513"/>
      <c r="L72" s="505">
        <f t="shared" si="15"/>
        <v>0</v>
      </c>
      <c r="M72" s="513"/>
      <c r="N72" s="505">
        <f t="shared" si="16"/>
        <v>0</v>
      </c>
      <c r="O72" s="505">
        <f t="shared" si="17"/>
        <v>0</v>
      </c>
      <c r="P72" s="279"/>
      <c r="R72" s="244"/>
      <c r="S72" s="244"/>
      <c r="T72" s="244"/>
      <c r="U72" s="244"/>
    </row>
    <row r="73" spans="2:21" ht="13" thickBot="1">
      <c r="B73" s="145" t="str">
        <f t="shared" si="13"/>
        <v/>
      </c>
      <c r="C73" s="525">
        <f>IF(D11="","-",+C72+1)</f>
        <v>2067</v>
      </c>
      <c r="D73" s="526">
        <f>IF(F72+SUM(E$17:E72)=D$10,F72,D$10-SUM(E$17:E72))</f>
        <v>0</v>
      </c>
      <c r="E73" s="527">
        <f>IF(+I14&lt;F72,I14,D73)</f>
        <v>0</v>
      </c>
      <c r="F73" s="528">
        <f t="shared" si="18"/>
        <v>0</v>
      </c>
      <c r="G73" s="529">
        <f t="shared" si="11"/>
        <v>0</v>
      </c>
      <c r="H73" s="459">
        <f t="shared" si="12"/>
        <v>0</v>
      </c>
      <c r="I73" s="530">
        <f t="shared" si="14"/>
        <v>0</v>
      </c>
      <c r="J73" s="501"/>
      <c r="K73" s="531"/>
      <c r="L73" s="532">
        <f t="shared" si="15"/>
        <v>0</v>
      </c>
      <c r="M73" s="531"/>
      <c r="N73" s="532">
        <f t="shared" si="16"/>
        <v>0</v>
      </c>
      <c r="O73" s="532">
        <f t="shared" si="17"/>
        <v>0</v>
      </c>
      <c r="P73" s="279"/>
      <c r="R73" s="244"/>
      <c r="S73" s="244"/>
      <c r="T73" s="244"/>
      <c r="U73" s="244"/>
    </row>
    <row r="74" spans="2:21" ht="12.5">
      <c r="C74" s="350" t="s">
        <v>75</v>
      </c>
      <c r="D74" s="295"/>
      <c r="E74" s="295">
        <f>SUM(E17:E73)</f>
        <v>614752.99999999977</v>
      </c>
      <c r="F74" s="295"/>
      <c r="G74" s="295">
        <f>SUM(G17:G73)</f>
        <v>2045954.0866819087</v>
      </c>
      <c r="H74" s="295">
        <f>SUM(H17:H73)</f>
        <v>2045954.0866819087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3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71183.123031214564</v>
      </c>
      <c r="N88" s="545">
        <f>IF(J93&lt;D11,0,VLOOKUP(J93,C17:O73,11))</f>
        <v>71183.123031214564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74718.282345644373</v>
      </c>
      <c r="N89" s="549">
        <f>IF(J93&lt;D11,0,VLOOKUP(J93,C100:P155,7))</f>
        <v>74718.282345644373</v>
      </c>
      <c r="O89" s="550">
        <f>+N89-M89</f>
        <v>0</v>
      </c>
      <c r="P89" s="244"/>
      <c r="Q89" s="244"/>
      <c r="R89" s="244"/>
      <c r="S89" s="244"/>
      <c r="T89" s="244"/>
      <c r="U89" s="244"/>
    </row>
    <row r="90" spans="1:21" ht="13.5" thickBot="1">
      <c r="C90" s="455" t="s">
        <v>82</v>
      </c>
      <c r="D90" s="551" t="str">
        <f>+D7</f>
        <v>Tulsa Power Station Reactor</v>
      </c>
      <c r="E90" s="244"/>
      <c r="F90" s="244"/>
      <c r="G90" s="244"/>
      <c r="H90" s="244"/>
      <c r="I90" s="326"/>
      <c r="J90" s="326"/>
      <c r="K90" s="552"/>
      <c r="L90" s="553" t="s">
        <v>135</v>
      </c>
      <c r="M90" s="554">
        <f>+M89-M88</f>
        <v>3535.1593144298095</v>
      </c>
      <c r="N90" s="554">
        <f>+N89-N88</f>
        <v>3535.1593144298095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TP2009090</v>
      </c>
      <c r="E92" s="559"/>
      <c r="F92" s="559"/>
      <c r="G92" s="559"/>
      <c r="H92" s="559"/>
      <c r="I92" s="559"/>
      <c r="J92" s="559"/>
      <c r="K92" s="561"/>
      <c r="P92" s="469"/>
      <c r="Q92" s="244"/>
      <c r="R92" s="244"/>
      <c r="S92" s="244"/>
      <c r="T92" s="244"/>
      <c r="U92" s="244"/>
    </row>
    <row r="93" spans="1:21" ht="13">
      <c r="C93" s="473" t="s">
        <v>49</v>
      </c>
      <c r="D93" s="471">
        <f>IF(D11=I10,0,D10)</f>
        <v>614753</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10</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21955.464285714286</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9">IF(D100=F99,"","IU")</f>
        <v>IU</v>
      </c>
      <c r="C100" s="496">
        <f>IF(D94= "","-",D94)</f>
        <v>2011</v>
      </c>
      <c r="D100" s="497">
        <v>0</v>
      </c>
      <c r="E100" s="499">
        <v>1766.3534482758621</v>
      </c>
      <c r="F100" s="506">
        <v>612924.64655172417</v>
      </c>
      <c r="G100" s="572">
        <v>306462.32327586209</v>
      </c>
      <c r="H100" s="572">
        <v>24552.570276961298</v>
      </c>
      <c r="I100" s="572">
        <v>24552.570276961298</v>
      </c>
      <c r="J100" s="505">
        <v>0</v>
      </c>
      <c r="K100" s="505"/>
      <c r="L100" s="588">
        <f t="shared" ref="L100:L105" si="20">H100</f>
        <v>24552.570276961298</v>
      </c>
      <c r="M100" s="589">
        <f t="shared" ref="M100:M131" si="21">IF(L100&lt;&gt;0,+H100-L100,0)</f>
        <v>0</v>
      </c>
      <c r="N100" s="507">
        <f t="shared" ref="N100:N105" si="22">I100</f>
        <v>24552.570276961298</v>
      </c>
      <c r="O100" s="589">
        <f t="shared" ref="O100:O131" si="23">IF(N100&lt;&gt;0,+I100-N100,0)</f>
        <v>0</v>
      </c>
      <c r="P100" s="504">
        <f t="shared" ref="P100:P131" si="24">+O100-M100</f>
        <v>0</v>
      </c>
      <c r="Q100" s="244"/>
      <c r="R100" s="244"/>
      <c r="S100" s="244"/>
      <c r="T100" s="244"/>
      <c r="U100" s="244"/>
    </row>
    <row r="101" spans="1:21" ht="12.5">
      <c r="B101" s="145" t="str">
        <f t="shared" si="19"/>
        <v>IU</v>
      </c>
      <c r="C101" s="496">
        <f>IF(D94="","-",+C100+1)</f>
        <v>2012</v>
      </c>
      <c r="D101" s="497">
        <v>612986.64655172417</v>
      </c>
      <c r="E101" s="499">
        <v>10599.189655172413</v>
      </c>
      <c r="F101" s="506">
        <v>602387.45689655177</v>
      </c>
      <c r="G101" s="506">
        <v>607687.05172413797</v>
      </c>
      <c r="H101" s="499">
        <v>72187.934734594193</v>
      </c>
      <c r="I101" s="500">
        <v>72187.934734594193</v>
      </c>
      <c r="J101" s="505">
        <v>0</v>
      </c>
      <c r="K101" s="589"/>
      <c r="L101" s="590">
        <f t="shared" si="20"/>
        <v>72187.934734594193</v>
      </c>
      <c r="M101" s="589">
        <f t="shared" ref="M101:M106" si="25">IF(L101&lt;&gt;0,+H101-L101,0)</f>
        <v>0</v>
      </c>
      <c r="N101" s="507">
        <f t="shared" si="22"/>
        <v>72187.934734594193</v>
      </c>
      <c r="O101" s="589">
        <f>IF(N101&lt;&gt;0,+I101-N101,0)</f>
        <v>0</v>
      </c>
      <c r="P101" s="589">
        <f>+O101-M101</f>
        <v>0</v>
      </c>
      <c r="Q101" s="244"/>
      <c r="R101" s="244"/>
      <c r="S101" s="244"/>
      <c r="T101" s="244"/>
      <c r="U101" s="244"/>
    </row>
    <row r="102" spans="1:21" ht="12.5">
      <c r="B102" s="145" t="str">
        <f t="shared" si="19"/>
        <v/>
      </c>
      <c r="C102" s="496">
        <f>IF(D94="","-",+C101+1)</f>
        <v>2013</v>
      </c>
      <c r="D102" s="497">
        <v>602387.45689655177</v>
      </c>
      <c r="E102" s="499">
        <v>10599.189655172413</v>
      </c>
      <c r="F102" s="506">
        <v>591788.26724137936</v>
      </c>
      <c r="G102" s="506">
        <v>597087.86206896557</v>
      </c>
      <c r="H102" s="499">
        <v>78464.169300722831</v>
      </c>
      <c r="I102" s="500">
        <v>78464.169300722831</v>
      </c>
      <c r="J102" s="505">
        <f t="shared" ref="J102:J131" si="26">+I102-H102</f>
        <v>0</v>
      </c>
      <c r="K102" s="589"/>
      <c r="L102" s="590">
        <f t="shared" si="20"/>
        <v>78464.169300722831</v>
      </c>
      <c r="M102" s="589">
        <f t="shared" si="25"/>
        <v>0</v>
      </c>
      <c r="N102" s="507">
        <f t="shared" si="22"/>
        <v>78464.169300722831</v>
      </c>
      <c r="O102" s="589">
        <f>IF(N102&lt;&gt;0,+I102-N102,0)</f>
        <v>0</v>
      </c>
      <c r="P102" s="589">
        <f>+O102-M102</f>
        <v>0</v>
      </c>
      <c r="Q102" s="244"/>
      <c r="R102" s="244"/>
      <c r="S102" s="244"/>
      <c r="T102" s="244"/>
      <c r="U102" s="244"/>
    </row>
    <row r="103" spans="1:21" ht="12.5">
      <c r="B103" s="145" t="str">
        <f t="shared" si="19"/>
        <v/>
      </c>
      <c r="C103" s="496">
        <f>IF(D94="","-",+C102+1)</f>
        <v>2014</v>
      </c>
      <c r="D103" s="497">
        <v>591788.26724137936</v>
      </c>
      <c r="E103" s="499">
        <v>10599.189655172413</v>
      </c>
      <c r="F103" s="506">
        <v>581189.07758620696</v>
      </c>
      <c r="G103" s="506">
        <v>586488.67241379316</v>
      </c>
      <c r="H103" s="499">
        <v>73672.191823391273</v>
      </c>
      <c r="I103" s="500">
        <v>73672.191823391273</v>
      </c>
      <c r="J103" s="505">
        <v>0</v>
      </c>
      <c r="K103" s="505"/>
      <c r="L103" s="590">
        <f t="shared" si="20"/>
        <v>73672.191823391273</v>
      </c>
      <c r="M103" s="589">
        <f t="shared" si="25"/>
        <v>0</v>
      </c>
      <c r="N103" s="507">
        <f t="shared" si="22"/>
        <v>73672.191823391273</v>
      </c>
      <c r="O103" s="589">
        <f>IF(N103&lt;&gt;0,+I103-N103,0)</f>
        <v>0</v>
      </c>
      <c r="P103" s="589">
        <f>+O103-M103</f>
        <v>0</v>
      </c>
      <c r="Q103" s="244"/>
      <c r="R103" s="244"/>
      <c r="S103" s="244"/>
      <c r="T103" s="244"/>
      <c r="U103" s="244"/>
    </row>
    <row r="104" spans="1:21" ht="12.5">
      <c r="B104" s="145" t="str">
        <f t="shared" si="19"/>
        <v/>
      </c>
      <c r="C104" s="496">
        <f>IF(D94="","-",+C103+1)</f>
        <v>2015</v>
      </c>
      <c r="D104" s="497">
        <v>581189.07758620696</v>
      </c>
      <c r="E104" s="499">
        <v>12807.354166666666</v>
      </c>
      <c r="F104" s="506">
        <v>568381.72341954033</v>
      </c>
      <c r="G104" s="506">
        <v>574785.40050287358</v>
      </c>
      <c r="H104" s="499">
        <v>76797.884368158106</v>
      </c>
      <c r="I104" s="500">
        <v>76797.884368158106</v>
      </c>
      <c r="J104" s="505">
        <f t="shared" si="26"/>
        <v>0</v>
      </c>
      <c r="K104" s="505"/>
      <c r="L104" s="590">
        <f t="shared" si="20"/>
        <v>76797.884368158106</v>
      </c>
      <c r="M104" s="589">
        <f t="shared" si="25"/>
        <v>0</v>
      </c>
      <c r="N104" s="507">
        <f t="shared" si="22"/>
        <v>76797.884368158106</v>
      </c>
      <c r="O104" s="589">
        <f t="shared" si="23"/>
        <v>0</v>
      </c>
      <c r="P104" s="589">
        <f t="shared" si="24"/>
        <v>0</v>
      </c>
      <c r="Q104" s="244"/>
      <c r="R104" s="244"/>
      <c r="S104" s="244"/>
      <c r="T104" s="244"/>
      <c r="U104" s="244"/>
    </row>
    <row r="105" spans="1:21" ht="12.5">
      <c r="B105" s="145" t="str">
        <f t="shared" si="19"/>
        <v/>
      </c>
      <c r="C105" s="496">
        <f>IF(D94="","-",+C104+1)</f>
        <v>2016</v>
      </c>
      <c r="D105" s="497">
        <v>568381.72341954033</v>
      </c>
      <c r="E105" s="499">
        <v>12053.980392156862</v>
      </c>
      <c r="F105" s="506">
        <v>556327.74302738346</v>
      </c>
      <c r="G105" s="506">
        <v>562354.7332234619</v>
      </c>
      <c r="H105" s="499">
        <v>72996.058830960712</v>
      </c>
      <c r="I105" s="500">
        <v>72996.058830960712</v>
      </c>
      <c r="J105" s="505">
        <f t="shared" si="26"/>
        <v>0</v>
      </c>
      <c r="K105" s="505"/>
      <c r="L105" s="590">
        <f t="shared" si="20"/>
        <v>72996.058830960712</v>
      </c>
      <c r="M105" s="589">
        <f t="shared" si="25"/>
        <v>0</v>
      </c>
      <c r="N105" s="507">
        <f t="shared" si="22"/>
        <v>72996.058830960712</v>
      </c>
      <c r="O105" s="589">
        <f>IF(N105&lt;&gt;0,+I105-N105,0)</f>
        <v>0</v>
      </c>
      <c r="P105" s="589">
        <f>+O105-M105</f>
        <v>0</v>
      </c>
      <c r="Q105" s="244"/>
      <c r="R105" s="244"/>
      <c r="S105" s="244"/>
      <c r="T105" s="244"/>
      <c r="U105" s="244"/>
    </row>
    <row r="106" spans="1:21" ht="12.5">
      <c r="B106" s="145" t="str">
        <f t="shared" si="19"/>
        <v/>
      </c>
      <c r="C106" s="496">
        <f>IF(D94="","-",+C105+1)</f>
        <v>2017</v>
      </c>
      <c r="D106" s="497">
        <v>556327.74302738346</v>
      </c>
      <c r="E106" s="499">
        <v>15368.825000000001</v>
      </c>
      <c r="F106" s="506">
        <v>540958.91802738351</v>
      </c>
      <c r="G106" s="506">
        <v>548643.33052738348</v>
      </c>
      <c r="H106" s="499">
        <v>79744.364331325967</v>
      </c>
      <c r="I106" s="500">
        <v>79744.364331325967</v>
      </c>
      <c r="J106" s="505">
        <f t="shared" si="26"/>
        <v>0</v>
      </c>
      <c r="K106" s="505"/>
      <c r="L106" s="590">
        <f>H106</f>
        <v>79744.364331325967</v>
      </c>
      <c r="M106" s="589">
        <f t="shared" si="25"/>
        <v>0</v>
      </c>
      <c r="N106" s="507">
        <f>I106</f>
        <v>79744.364331325967</v>
      </c>
      <c r="O106" s="589">
        <f>IF(N106&lt;&gt;0,+I106-N106,0)</f>
        <v>0</v>
      </c>
      <c r="P106" s="589">
        <f>+O106-M106</f>
        <v>0</v>
      </c>
      <c r="Q106" s="244"/>
      <c r="R106" s="244"/>
      <c r="S106" s="244"/>
      <c r="T106" s="244"/>
      <c r="U106" s="244"/>
    </row>
    <row r="107" spans="1:21" ht="12.5">
      <c r="B107" s="145" t="str">
        <f t="shared" si="19"/>
        <v/>
      </c>
      <c r="C107" s="496">
        <f>IF(D94="","-",+C106+1)</f>
        <v>2018</v>
      </c>
      <c r="D107" s="497">
        <v>540958.91802738351</v>
      </c>
      <c r="E107" s="499">
        <v>17076.472222222223</v>
      </c>
      <c r="F107" s="506">
        <v>523882.44580516126</v>
      </c>
      <c r="G107" s="506">
        <v>532420.68191627238</v>
      </c>
      <c r="H107" s="499">
        <v>73280.103356307678</v>
      </c>
      <c r="I107" s="500">
        <v>73280.103356307678</v>
      </c>
      <c r="J107" s="505">
        <f t="shared" si="26"/>
        <v>0</v>
      </c>
      <c r="K107" s="505"/>
      <c r="L107" s="590">
        <f>H107</f>
        <v>73280.103356307678</v>
      </c>
      <c r="M107" s="589">
        <f t="shared" ref="M107" si="27">IF(L107&lt;&gt;0,+H107-L107,0)</f>
        <v>0</v>
      </c>
      <c r="N107" s="507">
        <f>I107</f>
        <v>73280.103356307678</v>
      </c>
      <c r="O107" s="589">
        <f>IF(N107&lt;&gt;0,+I107-N107,0)</f>
        <v>0</v>
      </c>
      <c r="P107" s="589">
        <f>+O107-M107</f>
        <v>0</v>
      </c>
      <c r="Q107" s="244"/>
      <c r="R107" s="244"/>
      <c r="S107" s="244"/>
      <c r="T107" s="244"/>
      <c r="U107" s="244"/>
    </row>
    <row r="108" spans="1:21" ht="12.5">
      <c r="B108" s="145" t="str">
        <f t="shared" si="19"/>
        <v/>
      </c>
      <c r="C108" s="496">
        <f>IF(D94="","-",+C107+1)</f>
        <v>2019</v>
      </c>
      <c r="D108" s="497">
        <v>523882.44580516126</v>
      </c>
      <c r="E108" s="499">
        <v>17076.472222222223</v>
      </c>
      <c r="F108" s="506">
        <v>506805.97358293901</v>
      </c>
      <c r="G108" s="506">
        <v>515344.20969405014</v>
      </c>
      <c r="H108" s="499">
        <v>71477.469126557437</v>
      </c>
      <c r="I108" s="500">
        <v>71477.469126557437</v>
      </c>
      <c r="J108" s="505">
        <f t="shared" si="26"/>
        <v>0</v>
      </c>
      <c r="K108" s="505"/>
      <c r="L108" s="590">
        <f>H108</f>
        <v>71477.469126557437</v>
      </c>
      <c r="M108" s="589">
        <f t="shared" ref="M108" si="28">IF(L108&lt;&gt;0,+H108-L108,0)</f>
        <v>0</v>
      </c>
      <c r="N108" s="507">
        <f>I108</f>
        <v>71477.469126557437</v>
      </c>
      <c r="O108" s="505">
        <f t="shared" si="23"/>
        <v>0</v>
      </c>
      <c r="P108" s="505">
        <f t="shared" si="24"/>
        <v>0</v>
      </c>
      <c r="Q108" s="244"/>
      <c r="R108" s="244"/>
      <c r="S108" s="244"/>
      <c r="T108" s="244"/>
      <c r="U108" s="244"/>
    </row>
    <row r="109" spans="1:21" ht="12.5">
      <c r="B109" s="145" t="str">
        <f t="shared" si="19"/>
        <v/>
      </c>
      <c r="C109" s="496">
        <f>IF(D94="","-",+C108+1)</f>
        <v>2020</v>
      </c>
      <c r="D109" s="350">
        <f>IF(F108+SUM(E$100:E108)=D$93,F108,D$93-SUM(E$100:E108))</f>
        <v>506805.97358293901</v>
      </c>
      <c r="E109" s="510">
        <f>IF(+J97&lt;F108,J97,D109)</f>
        <v>21955.464285714286</v>
      </c>
      <c r="F109" s="511">
        <f t="shared" ref="F109:F132" si="29">+D109-E109</f>
        <v>484850.50929722475</v>
      </c>
      <c r="G109" s="511">
        <f t="shared" ref="G109:G131" si="30">+(F109+D109)/2</f>
        <v>495828.24144008185</v>
      </c>
      <c r="H109" s="646">
        <f>(D109+F109)/2*J$95+E109</f>
        <v>74718.282345644373</v>
      </c>
      <c r="I109" s="573">
        <f t="shared" ref="I109:I131" si="31">+J$96*G109+E109</f>
        <v>74718.282345644373</v>
      </c>
      <c r="J109" s="505">
        <f t="shared" si="26"/>
        <v>0</v>
      </c>
      <c r="K109" s="505"/>
      <c r="L109" s="513"/>
      <c r="M109" s="505">
        <f t="shared" si="21"/>
        <v>0</v>
      </c>
      <c r="N109" s="513"/>
      <c r="O109" s="505">
        <f t="shared" si="23"/>
        <v>0</v>
      </c>
      <c r="P109" s="505">
        <f t="shared" si="24"/>
        <v>0</v>
      </c>
      <c r="Q109" s="244"/>
      <c r="R109" s="244"/>
      <c r="S109" s="244"/>
      <c r="T109" s="244"/>
      <c r="U109" s="244"/>
    </row>
    <row r="110" spans="1:21" ht="12.5">
      <c r="B110" s="145" t="str">
        <f t="shared" si="19"/>
        <v/>
      </c>
      <c r="C110" s="496">
        <f>IF(D94="","-",+C109+1)</f>
        <v>2021</v>
      </c>
      <c r="D110" s="350">
        <f>IF(F109+SUM(E$100:E109)=D$93,F109,D$93-SUM(E$100:E109))</f>
        <v>484850.50929722475</v>
      </c>
      <c r="E110" s="510">
        <f>IF(+J97&lt;F109,J97,D110)</f>
        <v>21955.464285714286</v>
      </c>
      <c r="F110" s="511">
        <f t="shared" si="29"/>
        <v>462895.04501151049</v>
      </c>
      <c r="G110" s="511">
        <f t="shared" si="30"/>
        <v>473872.77715436765</v>
      </c>
      <c r="H110" s="646">
        <f t="shared" ref="H110:H155" si="32">(D110+F110)/2*J$95+E110</f>
        <v>72381.92456948405</v>
      </c>
      <c r="I110" s="573">
        <f t="shared" si="31"/>
        <v>72381.92456948405</v>
      </c>
      <c r="J110" s="505">
        <f t="shared" si="26"/>
        <v>0</v>
      </c>
      <c r="K110" s="505"/>
      <c r="L110" s="513"/>
      <c r="M110" s="505">
        <f t="shared" si="21"/>
        <v>0</v>
      </c>
      <c r="N110" s="513"/>
      <c r="O110" s="505">
        <f t="shared" si="23"/>
        <v>0</v>
      </c>
      <c r="P110" s="505">
        <f t="shared" si="24"/>
        <v>0</v>
      </c>
      <c r="Q110" s="244"/>
      <c r="R110" s="244"/>
      <c r="S110" s="244"/>
      <c r="T110" s="244"/>
      <c r="U110" s="244"/>
    </row>
    <row r="111" spans="1:21" ht="12.5">
      <c r="B111" s="145" t="str">
        <f t="shared" si="19"/>
        <v/>
      </c>
      <c r="C111" s="496">
        <f>IF(D94="","-",+C110+1)</f>
        <v>2022</v>
      </c>
      <c r="D111" s="350">
        <f>IF(F110+SUM(E$100:E110)=D$93,F110,D$93-SUM(E$100:E110))</f>
        <v>462895.04501151049</v>
      </c>
      <c r="E111" s="510">
        <f>IF(+J97&lt;F110,J97,D111)</f>
        <v>21955.464285714286</v>
      </c>
      <c r="F111" s="511">
        <f t="shared" si="29"/>
        <v>440939.58072579623</v>
      </c>
      <c r="G111" s="511">
        <f t="shared" si="30"/>
        <v>451917.31286865333</v>
      </c>
      <c r="H111" s="646">
        <f t="shared" si="32"/>
        <v>70045.566793323713</v>
      </c>
      <c r="I111" s="573">
        <f t="shared" si="31"/>
        <v>70045.566793323713</v>
      </c>
      <c r="J111" s="505">
        <f t="shared" si="26"/>
        <v>0</v>
      </c>
      <c r="K111" s="505"/>
      <c r="L111" s="513"/>
      <c r="M111" s="505">
        <f t="shared" si="21"/>
        <v>0</v>
      </c>
      <c r="N111" s="513"/>
      <c r="O111" s="505">
        <f t="shared" si="23"/>
        <v>0</v>
      </c>
      <c r="P111" s="505">
        <f t="shared" si="24"/>
        <v>0</v>
      </c>
      <c r="Q111" s="244"/>
      <c r="R111" s="244"/>
      <c r="S111" s="244"/>
      <c r="T111" s="244"/>
      <c r="U111" s="244"/>
    </row>
    <row r="112" spans="1:21" ht="12.5">
      <c r="B112" s="145" t="str">
        <f t="shared" si="19"/>
        <v/>
      </c>
      <c r="C112" s="496">
        <f>IF(D94="","-",+C111+1)</f>
        <v>2023</v>
      </c>
      <c r="D112" s="350">
        <f>IF(F111+SUM(E$100:E111)=D$93,F111,D$93-SUM(E$100:E111))</f>
        <v>440939.58072579623</v>
      </c>
      <c r="E112" s="510">
        <f>IF(+J97&lt;F111,J97,D112)</f>
        <v>21955.464285714286</v>
      </c>
      <c r="F112" s="511">
        <f t="shared" si="29"/>
        <v>418984.11644008197</v>
      </c>
      <c r="G112" s="511">
        <f t="shared" si="30"/>
        <v>429961.84858293913</v>
      </c>
      <c r="H112" s="646">
        <f t="shared" si="32"/>
        <v>67709.209017163404</v>
      </c>
      <c r="I112" s="573">
        <f t="shared" si="31"/>
        <v>67709.209017163404</v>
      </c>
      <c r="J112" s="505">
        <f t="shared" si="26"/>
        <v>0</v>
      </c>
      <c r="K112" s="505"/>
      <c r="L112" s="513"/>
      <c r="M112" s="505">
        <f t="shared" si="21"/>
        <v>0</v>
      </c>
      <c r="N112" s="513"/>
      <c r="O112" s="505">
        <f t="shared" si="23"/>
        <v>0</v>
      </c>
      <c r="P112" s="505">
        <f t="shared" si="24"/>
        <v>0</v>
      </c>
      <c r="Q112" s="244"/>
      <c r="R112" s="244"/>
      <c r="S112" s="244"/>
      <c r="T112" s="244"/>
      <c r="U112" s="244"/>
    </row>
    <row r="113" spans="2:21" ht="12.5">
      <c r="B113" s="145" t="str">
        <f t="shared" si="19"/>
        <v/>
      </c>
      <c r="C113" s="496">
        <f>IF(D94="","-",+C112+1)</f>
        <v>2024</v>
      </c>
      <c r="D113" s="350">
        <f>IF(F112+SUM(E$100:E112)=D$93,F112,D$93-SUM(E$100:E112))</f>
        <v>418984.11644008197</v>
      </c>
      <c r="E113" s="510">
        <f>IF(+J97&lt;F112,J97,D113)</f>
        <v>21955.464285714286</v>
      </c>
      <c r="F113" s="511">
        <f t="shared" si="29"/>
        <v>397028.65215436771</v>
      </c>
      <c r="G113" s="511">
        <f t="shared" si="30"/>
        <v>408006.38429722481</v>
      </c>
      <c r="H113" s="646">
        <f t="shared" si="32"/>
        <v>65372.851241003067</v>
      </c>
      <c r="I113" s="573">
        <f t="shared" si="31"/>
        <v>65372.851241003067</v>
      </c>
      <c r="J113" s="505">
        <f t="shared" si="26"/>
        <v>0</v>
      </c>
      <c r="K113" s="505"/>
      <c r="L113" s="513"/>
      <c r="M113" s="505">
        <f t="shared" si="21"/>
        <v>0</v>
      </c>
      <c r="N113" s="513"/>
      <c r="O113" s="505">
        <f t="shared" si="23"/>
        <v>0</v>
      </c>
      <c r="P113" s="505">
        <f t="shared" si="24"/>
        <v>0</v>
      </c>
      <c r="Q113" s="244"/>
      <c r="R113" s="244"/>
      <c r="S113" s="244"/>
      <c r="T113" s="244"/>
      <c r="U113" s="244"/>
    </row>
    <row r="114" spans="2:21" ht="12.5">
      <c r="B114" s="145" t="str">
        <f t="shared" si="19"/>
        <v/>
      </c>
      <c r="C114" s="496">
        <f>IF(D94="","-",+C113+1)</f>
        <v>2025</v>
      </c>
      <c r="D114" s="350">
        <f>IF(F113+SUM(E$100:E113)=D$93,F113,D$93-SUM(E$100:E113))</f>
        <v>397028.65215436771</v>
      </c>
      <c r="E114" s="510">
        <f>IF(+J97&lt;F113,J97,D114)</f>
        <v>21955.464285714286</v>
      </c>
      <c r="F114" s="511">
        <f t="shared" si="29"/>
        <v>375073.18786865345</v>
      </c>
      <c r="G114" s="511">
        <f t="shared" si="30"/>
        <v>386050.92001151061</v>
      </c>
      <c r="H114" s="646">
        <f t="shared" si="32"/>
        <v>63036.493464842744</v>
      </c>
      <c r="I114" s="573">
        <f t="shared" si="31"/>
        <v>63036.493464842744</v>
      </c>
      <c r="J114" s="505">
        <f t="shared" si="26"/>
        <v>0</v>
      </c>
      <c r="K114" s="505"/>
      <c r="L114" s="513"/>
      <c r="M114" s="505">
        <f t="shared" si="21"/>
        <v>0</v>
      </c>
      <c r="N114" s="513"/>
      <c r="O114" s="505">
        <f t="shared" si="23"/>
        <v>0</v>
      </c>
      <c r="P114" s="505">
        <f t="shared" si="24"/>
        <v>0</v>
      </c>
      <c r="Q114" s="244"/>
      <c r="R114" s="244"/>
      <c r="S114" s="244"/>
      <c r="T114" s="244"/>
      <c r="U114" s="244"/>
    </row>
    <row r="115" spans="2:21" ht="12.5">
      <c r="B115" s="145" t="str">
        <f t="shared" si="19"/>
        <v/>
      </c>
      <c r="C115" s="496">
        <f>IF(D94="","-",+C114+1)</f>
        <v>2026</v>
      </c>
      <c r="D115" s="350">
        <f>IF(F114+SUM(E$100:E114)=D$93,F114,D$93-SUM(E$100:E114))</f>
        <v>375073.18786865345</v>
      </c>
      <c r="E115" s="510">
        <f>IF(+J97&lt;F114,J97,D115)</f>
        <v>21955.464285714286</v>
      </c>
      <c r="F115" s="511">
        <f t="shared" si="29"/>
        <v>353117.72358293919</v>
      </c>
      <c r="G115" s="511">
        <f t="shared" si="30"/>
        <v>364095.45572579629</v>
      </c>
      <c r="H115" s="646">
        <f t="shared" si="32"/>
        <v>60700.135688682421</v>
      </c>
      <c r="I115" s="573">
        <f t="shared" si="31"/>
        <v>60700.135688682421</v>
      </c>
      <c r="J115" s="505">
        <f t="shared" si="26"/>
        <v>0</v>
      </c>
      <c r="K115" s="505"/>
      <c r="L115" s="513"/>
      <c r="M115" s="505">
        <f t="shared" si="21"/>
        <v>0</v>
      </c>
      <c r="N115" s="513"/>
      <c r="O115" s="505">
        <f t="shared" si="23"/>
        <v>0</v>
      </c>
      <c r="P115" s="505">
        <f t="shared" si="24"/>
        <v>0</v>
      </c>
      <c r="Q115" s="244"/>
      <c r="R115" s="244"/>
      <c r="S115" s="244"/>
      <c r="T115" s="244"/>
      <c r="U115" s="244"/>
    </row>
    <row r="116" spans="2:21" ht="12.5">
      <c r="B116" s="145" t="str">
        <f t="shared" si="19"/>
        <v/>
      </c>
      <c r="C116" s="496">
        <f>IF(D94="","-",+C115+1)</f>
        <v>2027</v>
      </c>
      <c r="D116" s="350">
        <f>IF(F115+SUM(E$100:E115)=D$93,F115,D$93-SUM(E$100:E115))</f>
        <v>353117.72358293919</v>
      </c>
      <c r="E116" s="510">
        <f>IF(+J97&lt;F115,J97,D116)</f>
        <v>21955.464285714286</v>
      </c>
      <c r="F116" s="511">
        <f t="shared" si="29"/>
        <v>331162.25929722493</v>
      </c>
      <c r="G116" s="511">
        <f t="shared" si="30"/>
        <v>342139.99144008209</v>
      </c>
      <c r="H116" s="646">
        <f t="shared" si="32"/>
        <v>58363.777912522099</v>
      </c>
      <c r="I116" s="573">
        <f t="shared" si="31"/>
        <v>58363.777912522099</v>
      </c>
      <c r="J116" s="505">
        <f t="shared" si="26"/>
        <v>0</v>
      </c>
      <c r="K116" s="505"/>
      <c r="L116" s="513"/>
      <c r="M116" s="505">
        <f t="shared" si="21"/>
        <v>0</v>
      </c>
      <c r="N116" s="513"/>
      <c r="O116" s="505">
        <f t="shared" si="23"/>
        <v>0</v>
      </c>
      <c r="P116" s="505">
        <f t="shared" si="24"/>
        <v>0</v>
      </c>
      <c r="Q116" s="244"/>
      <c r="R116" s="244"/>
      <c r="S116" s="244"/>
      <c r="T116" s="244"/>
      <c r="U116" s="244"/>
    </row>
    <row r="117" spans="2:21" ht="12.5">
      <c r="B117" s="145" t="str">
        <f t="shared" si="19"/>
        <v/>
      </c>
      <c r="C117" s="496">
        <f>IF(D94="","-",+C116+1)</f>
        <v>2028</v>
      </c>
      <c r="D117" s="350">
        <f>IF(F116+SUM(E$100:E116)=D$93,F116,D$93-SUM(E$100:E116))</f>
        <v>331162.25929722493</v>
      </c>
      <c r="E117" s="510">
        <f>IF(+J97&lt;F116,J97,D117)</f>
        <v>21955.464285714286</v>
      </c>
      <c r="F117" s="511">
        <f t="shared" si="29"/>
        <v>309206.79501151067</v>
      </c>
      <c r="G117" s="511">
        <f t="shared" si="30"/>
        <v>320184.52715436777</v>
      </c>
      <c r="H117" s="646">
        <f t="shared" si="32"/>
        <v>56027.420136361761</v>
      </c>
      <c r="I117" s="573">
        <f t="shared" si="31"/>
        <v>56027.420136361761</v>
      </c>
      <c r="J117" s="505">
        <f t="shared" si="26"/>
        <v>0</v>
      </c>
      <c r="K117" s="505"/>
      <c r="L117" s="513"/>
      <c r="M117" s="505">
        <f t="shared" si="21"/>
        <v>0</v>
      </c>
      <c r="N117" s="513"/>
      <c r="O117" s="505">
        <f t="shared" si="23"/>
        <v>0</v>
      </c>
      <c r="P117" s="505">
        <f t="shared" si="24"/>
        <v>0</v>
      </c>
      <c r="Q117" s="244"/>
      <c r="R117" s="244"/>
      <c r="S117" s="244"/>
      <c r="T117" s="244"/>
      <c r="U117" s="244"/>
    </row>
    <row r="118" spans="2:21" ht="12.5">
      <c r="B118" s="145" t="str">
        <f t="shared" si="19"/>
        <v/>
      </c>
      <c r="C118" s="496">
        <f>IF(D94="","-",+C117+1)</f>
        <v>2029</v>
      </c>
      <c r="D118" s="350">
        <f>IF(F117+SUM(E$100:E117)=D$93,F117,D$93-SUM(E$100:E117))</f>
        <v>309206.79501151067</v>
      </c>
      <c r="E118" s="510">
        <f>IF(+J97&lt;F117,J97,D118)</f>
        <v>21955.464285714286</v>
      </c>
      <c r="F118" s="511">
        <f t="shared" si="29"/>
        <v>287251.3307257964</v>
      </c>
      <c r="G118" s="511">
        <f t="shared" si="30"/>
        <v>298229.06286865356</v>
      </c>
      <c r="H118" s="646">
        <f t="shared" si="32"/>
        <v>53691.062360201453</v>
      </c>
      <c r="I118" s="573">
        <f t="shared" si="31"/>
        <v>53691.062360201453</v>
      </c>
      <c r="J118" s="505">
        <f t="shared" si="26"/>
        <v>0</v>
      </c>
      <c r="K118" s="505"/>
      <c r="L118" s="513"/>
      <c r="M118" s="505">
        <f t="shared" si="21"/>
        <v>0</v>
      </c>
      <c r="N118" s="513"/>
      <c r="O118" s="505">
        <f t="shared" si="23"/>
        <v>0</v>
      </c>
      <c r="P118" s="505">
        <f t="shared" si="24"/>
        <v>0</v>
      </c>
      <c r="Q118" s="244"/>
      <c r="R118" s="244"/>
      <c r="S118" s="244"/>
      <c r="T118" s="244"/>
      <c r="U118" s="244"/>
    </row>
    <row r="119" spans="2:21" ht="12.5">
      <c r="B119" s="145" t="str">
        <f t="shared" si="19"/>
        <v/>
      </c>
      <c r="C119" s="496">
        <f>IF(D94="","-",+C118+1)</f>
        <v>2030</v>
      </c>
      <c r="D119" s="350">
        <f>IF(F118+SUM(E$100:E118)=D$93,F118,D$93-SUM(E$100:E118))</f>
        <v>287251.3307257964</v>
      </c>
      <c r="E119" s="510">
        <f>IF(+J97&lt;F118,J97,D119)</f>
        <v>21955.464285714286</v>
      </c>
      <c r="F119" s="511">
        <f t="shared" si="29"/>
        <v>265295.86644008214</v>
      </c>
      <c r="G119" s="511">
        <f t="shared" si="30"/>
        <v>276273.59858293924</v>
      </c>
      <c r="H119" s="646">
        <f t="shared" si="32"/>
        <v>51354.704584041116</v>
      </c>
      <c r="I119" s="573">
        <f t="shared" si="31"/>
        <v>51354.704584041116</v>
      </c>
      <c r="J119" s="505">
        <f t="shared" si="26"/>
        <v>0</v>
      </c>
      <c r="K119" s="505"/>
      <c r="L119" s="513"/>
      <c r="M119" s="505">
        <f t="shared" si="21"/>
        <v>0</v>
      </c>
      <c r="N119" s="513"/>
      <c r="O119" s="505">
        <f t="shared" si="23"/>
        <v>0</v>
      </c>
      <c r="P119" s="505">
        <f t="shared" si="24"/>
        <v>0</v>
      </c>
      <c r="Q119" s="244"/>
      <c r="R119" s="244"/>
      <c r="S119" s="244"/>
      <c r="T119" s="244"/>
      <c r="U119" s="244"/>
    </row>
    <row r="120" spans="2:21" ht="12.5">
      <c r="B120" s="145" t="str">
        <f t="shared" si="19"/>
        <v/>
      </c>
      <c r="C120" s="496">
        <f>IF(D94="","-",+C119+1)</f>
        <v>2031</v>
      </c>
      <c r="D120" s="350">
        <f>IF(F119+SUM(E$100:E119)=D$93,F119,D$93-SUM(E$100:E119))</f>
        <v>265295.86644008214</v>
      </c>
      <c r="E120" s="510">
        <f>IF(+J97&lt;F119,J97,D120)</f>
        <v>21955.464285714286</v>
      </c>
      <c r="F120" s="511">
        <f t="shared" si="29"/>
        <v>243340.40215436785</v>
      </c>
      <c r="G120" s="511">
        <f t="shared" si="30"/>
        <v>254318.13429722498</v>
      </c>
      <c r="H120" s="646">
        <f t="shared" si="32"/>
        <v>49018.346807880793</v>
      </c>
      <c r="I120" s="573">
        <f t="shared" si="31"/>
        <v>49018.346807880793</v>
      </c>
      <c r="J120" s="505">
        <f t="shared" si="26"/>
        <v>0</v>
      </c>
      <c r="K120" s="505"/>
      <c r="L120" s="513"/>
      <c r="M120" s="505">
        <f t="shared" si="21"/>
        <v>0</v>
      </c>
      <c r="N120" s="513"/>
      <c r="O120" s="505">
        <f t="shared" si="23"/>
        <v>0</v>
      </c>
      <c r="P120" s="505">
        <f t="shared" si="24"/>
        <v>0</v>
      </c>
      <c r="Q120" s="244"/>
      <c r="R120" s="244"/>
      <c r="S120" s="244"/>
      <c r="T120" s="244"/>
      <c r="U120" s="244"/>
    </row>
    <row r="121" spans="2:21" ht="12.5">
      <c r="B121" s="145" t="str">
        <f t="shared" si="19"/>
        <v/>
      </c>
      <c r="C121" s="496">
        <f>IF(D94="","-",+C120+1)</f>
        <v>2032</v>
      </c>
      <c r="D121" s="350">
        <f>IF(F120+SUM(E$100:E120)=D$93,F120,D$93-SUM(E$100:E120))</f>
        <v>243340.40215436785</v>
      </c>
      <c r="E121" s="510">
        <f>IF(+J97&lt;F120,J97,D121)</f>
        <v>21955.464285714286</v>
      </c>
      <c r="F121" s="511">
        <f t="shared" si="29"/>
        <v>221384.93786865356</v>
      </c>
      <c r="G121" s="511">
        <f t="shared" si="30"/>
        <v>232362.67001151072</v>
      </c>
      <c r="H121" s="646">
        <f t="shared" si="32"/>
        <v>46681.98903172047</v>
      </c>
      <c r="I121" s="573">
        <f t="shared" si="31"/>
        <v>46681.98903172047</v>
      </c>
      <c r="J121" s="505">
        <f t="shared" si="26"/>
        <v>0</v>
      </c>
      <c r="K121" s="505"/>
      <c r="L121" s="513"/>
      <c r="M121" s="505">
        <f t="shared" si="21"/>
        <v>0</v>
      </c>
      <c r="N121" s="513"/>
      <c r="O121" s="505">
        <f t="shared" si="23"/>
        <v>0</v>
      </c>
      <c r="P121" s="505">
        <f t="shared" si="24"/>
        <v>0</v>
      </c>
      <c r="Q121" s="244"/>
      <c r="R121" s="244"/>
      <c r="S121" s="244"/>
      <c r="T121" s="244"/>
      <c r="U121" s="244"/>
    </row>
    <row r="122" spans="2:21" ht="12.5">
      <c r="B122" s="145" t="str">
        <f t="shared" si="19"/>
        <v/>
      </c>
      <c r="C122" s="496">
        <f>IF(D94="","-",+C121+1)</f>
        <v>2033</v>
      </c>
      <c r="D122" s="350">
        <f>IF(F121+SUM(E$100:E121)=D$93,F121,D$93-SUM(E$100:E121))</f>
        <v>221384.93786865356</v>
      </c>
      <c r="E122" s="510">
        <f>IF(+J97&lt;F121,J97,D122)</f>
        <v>21955.464285714286</v>
      </c>
      <c r="F122" s="511">
        <f t="shared" si="29"/>
        <v>199429.47358293927</v>
      </c>
      <c r="G122" s="511">
        <f t="shared" si="30"/>
        <v>210407.2057257964</v>
      </c>
      <c r="H122" s="646">
        <f t="shared" si="32"/>
        <v>44345.631255560133</v>
      </c>
      <c r="I122" s="573">
        <f t="shared" si="31"/>
        <v>44345.631255560133</v>
      </c>
      <c r="J122" s="505">
        <f t="shared" si="26"/>
        <v>0</v>
      </c>
      <c r="K122" s="505"/>
      <c r="L122" s="513"/>
      <c r="M122" s="505">
        <f t="shared" si="21"/>
        <v>0</v>
      </c>
      <c r="N122" s="513"/>
      <c r="O122" s="505">
        <f t="shared" si="23"/>
        <v>0</v>
      </c>
      <c r="P122" s="505">
        <f t="shared" si="24"/>
        <v>0</v>
      </c>
      <c r="Q122" s="244"/>
      <c r="R122" s="244"/>
      <c r="S122" s="244"/>
      <c r="T122" s="244"/>
      <c r="U122" s="244"/>
    </row>
    <row r="123" spans="2:21" ht="12.5">
      <c r="B123" s="145" t="str">
        <f t="shared" si="19"/>
        <v/>
      </c>
      <c r="C123" s="496">
        <f>IF(D94="","-",+C122+1)</f>
        <v>2034</v>
      </c>
      <c r="D123" s="350">
        <f>IF(F122+SUM(E$100:E122)=D$93,F122,D$93-SUM(E$100:E122))</f>
        <v>199429.47358293927</v>
      </c>
      <c r="E123" s="510">
        <f>IF(+J97&lt;F122,J97,D123)</f>
        <v>21955.464285714286</v>
      </c>
      <c r="F123" s="511">
        <f t="shared" si="29"/>
        <v>177474.00929722498</v>
      </c>
      <c r="G123" s="511">
        <f t="shared" si="30"/>
        <v>188451.74144008214</v>
      </c>
      <c r="H123" s="646">
        <f t="shared" si="32"/>
        <v>42009.27347939981</v>
      </c>
      <c r="I123" s="573">
        <f t="shared" si="31"/>
        <v>42009.27347939981</v>
      </c>
      <c r="J123" s="505">
        <f t="shared" si="26"/>
        <v>0</v>
      </c>
      <c r="K123" s="505"/>
      <c r="L123" s="513"/>
      <c r="M123" s="505">
        <f t="shared" si="21"/>
        <v>0</v>
      </c>
      <c r="N123" s="513"/>
      <c r="O123" s="505">
        <f t="shared" si="23"/>
        <v>0</v>
      </c>
      <c r="P123" s="505">
        <f t="shared" si="24"/>
        <v>0</v>
      </c>
      <c r="Q123" s="244"/>
      <c r="R123" s="244"/>
      <c r="S123" s="244"/>
      <c r="T123" s="244"/>
      <c r="U123" s="244"/>
    </row>
    <row r="124" spans="2:21" ht="12.5">
      <c r="B124" s="145" t="str">
        <f t="shared" si="19"/>
        <v/>
      </c>
      <c r="C124" s="496">
        <f>IF(D94="","-",+C123+1)</f>
        <v>2035</v>
      </c>
      <c r="D124" s="350">
        <f>IF(F123+SUM(E$100:E123)=D$93,F123,D$93-SUM(E$100:E123))</f>
        <v>177474.00929722498</v>
      </c>
      <c r="E124" s="510">
        <f>IF(+J97&lt;F123,J97,D124)</f>
        <v>21955.464285714286</v>
      </c>
      <c r="F124" s="511">
        <f t="shared" si="29"/>
        <v>155518.54501151069</v>
      </c>
      <c r="G124" s="511">
        <f t="shared" si="30"/>
        <v>166496.27715436782</v>
      </c>
      <c r="H124" s="646">
        <f t="shared" si="32"/>
        <v>39672.91570323948</v>
      </c>
      <c r="I124" s="573">
        <f t="shared" si="31"/>
        <v>39672.91570323948</v>
      </c>
      <c r="J124" s="505">
        <f t="shared" si="26"/>
        <v>0</v>
      </c>
      <c r="K124" s="505"/>
      <c r="L124" s="513"/>
      <c r="M124" s="505">
        <f t="shared" si="21"/>
        <v>0</v>
      </c>
      <c r="N124" s="513"/>
      <c r="O124" s="505">
        <f t="shared" si="23"/>
        <v>0</v>
      </c>
      <c r="P124" s="505">
        <f t="shared" si="24"/>
        <v>0</v>
      </c>
      <c r="Q124" s="244"/>
      <c r="R124" s="244"/>
      <c r="S124" s="244"/>
      <c r="T124" s="244"/>
      <c r="U124" s="244"/>
    </row>
    <row r="125" spans="2:21" ht="12.5">
      <c r="B125" s="145" t="str">
        <f t="shared" si="19"/>
        <v/>
      </c>
      <c r="C125" s="496">
        <f>IF(D94="","-",+C124+1)</f>
        <v>2036</v>
      </c>
      <c r="D125" s="350">
        <f>IF(F124+SUM(E$100:E124)=D$93,F124,D$93-SUM(E$100:E124))</f>
        <v>155518.54501151069</v>
      </c>
      <c r="E125" s="510">
        <f>IF(+J97&lt;F124,J97,D125)</f>
        <v>21955.464285714286</v>
      </c>
      <c r="F125" s="511">
        <f t="shared" si="29"/>
        <v>133563.0807257964</v>
      </c>
      <c r="G125" s="511">
        <f t="shared" si="30"/>
        <v>144540.81286865356</v>
      </c>
      <c r="H125" s="646">
        <f t="shared" si="32"/>
        <v>37336.557927079157</v>
      </c>
      <c r="I125" s="573">
        <f t="shared" si="31"/>
        <v>37336.557927079157</v>
      </c>
      <c r="J125" s="505">
        <f t="shared" si="26"/>
        <v>0</v>
      </c>
      <c r="K125" s="505"/>
      <c r="L125" s="513"/>
      <c r="M125" s="505">
        <f t="shared" si="21"/>
        <v>0</v>
      </c>
      <c r="N125" s="513"/>
      <c r="O125" s="505">
        <f t="shared" si="23"/>
        <v>0</v>
      </c>
      <c r="P125" s="505">
        <f t="shared" si="24"/>
        <v>0</v>
      </c>
      <c r="Q125" s="244"/>
      <c r="R125" s="244"/>
      <c r="S125" s="244"/>
      <c r="T125" s="244"/>
      <c r="U125" s="244"/>
    </row>
    <row r="126" spans="2:21" ht="12.5">
      <c r="B126" s="145" t="str">
        <f t="shared" si="19"/>
        <v/>
      </c>
      <c r="C126" s="496">
        <f>IF(D94="","-",+C125+1)</f>
        <v>2037</v>
      </c>
      <c r="D126" s="350">
        <f>IF(F125+SUM(E$100:E125)=D$93,F125,D$93-SUM(E$100:E125))</f>
        <v>133563.0807257964</v>
      </c>
      <c r="E126" s="510">
        <f>IF(+J97&lt;F125,J97,D126)</f>
        <v>21955.464285714286</v>
      </c>
      <c r="F126" s="511">
        <f t="shared" si="29"/>
        <v>111607.61644008211</v>
      </c>
      <c r="G126" s="511">
        <f t="shared" si="30"/>
        <v>122585.34858293926</v>
      </c>
      <c r="H126" s="646">
        <f t="shared" si="32"/>
        <v>35000.200150918827</v>
      </c>
      <c r="I126" s="573">
        <f t="shared" si="31"/>
        <v>35000.200150918827</v>
      </c>
      <c r="J126" s="505">
        <f t="shared" si="26"/>
        <v>0</v>
      </c>
      <c r="K126" s="505"/>
      <c r="L126" s="513"/>
      <c r="M126" s="505">
        <f t="shared" si="21"/>
        <v>0</v>
      </c>
      <c r="N126" s="513"/>
      <c r="O126" s="505">
        <f t="shared" si="23"/>
        <v>0</v>
      </c>
      <c r="P126" s="505">
        <f t="shared" si="24"/>
        <v>0</v>
      </c>
      <c r="Q126" s="244"/>
      <c r="R126" s="244"/>
      <c r="S126" s="244"/>
      <c r="T126" s="244"/>
      <c r="U126" s="244"/>
    </row>
    <row r="127" spans="2:21" ht="12.5">
      <c r="B127" s="145" t="str">
        <f t="shared" si="19"/>
        <v/>
      </c>
      <c r="C127" s="496">
        <f>IF(D94="","-",+C126+1)</f>
        <v>2038</v>
      </c>
      <c r="D127" s="350">
        <f>IF(F126+SUM(E$100:E126)=D$93,F126,D$93-SUM(E$100:E126))</f>
        <v>111607.61644008211</v>
      </c>
      <c r="E127" s="510">
        <f>IF(+J97&lt;F126,J97,D127)</f>
        <v>21955.464285714286</v>
      </c>
      <c r="F127" s="511">
        <f t="shared" si="29"/>
        <v>89652.152154367825</v>
      </c>
      <c r="G127" s="511">
        <f t="shared" si="30"/>
        <v>100629.88429722497</v>
      </c>
      <c r="H127" s="646">
        <f t="shared" si="32"/>
        <v>32663.842374758497</v>
      </c>
      <c r="I127" s="573">
        <f t="shared" si="31"/>
        <v>32663.842374758497</v>
      </c>
      <c r="J127" s="505">
        <f t="shared" si="26"/>
        <v>0</v>
      </c>
      <c r="K127" s="505"/>
      <c r="L127" s="513"/>
      <c r="M127" s="505">
        <f t="shared" si="21"/>
        <v>0</v>
      </c>
      <c r="N127" s="513"/>
      <c r="O127" s="505">
        <f t="shared" si="23"/>
        <v>0</v>
      </c>
      <c r="P127" s="505">
        <f t="shared" si="24"/>
        <v>0</v>
      </c>
      <c r="Q127" s="244"/>
      <c r="R127" s="244"/>
      <c r="S127" s="244"/>
      <c r="T127" s="244"/>
      <c r="U127" s="244"/>
    </row>
    <row r="128" spans="2:21" ht="12.5">
      <c r="B128" s="145" t="str">
        <f t="shared" si="19"/>
        <v/>
      </c>
      <c r="C128" s="496">
        <f>IF(D94="","-",+C127+1)</f>
        <v>2039</v>
      </c>
      <c r="D128" s="350">
        <f>IF(F127+SUM(E$100:E127)=D$93,F127,D$93-SUM(E$100:E127))</f>
        <v>89652.152154367825</v>
      </c>
      <c r="E128" s="510">
        <f>IF(+J97&lt;F127,J97,D128)</f>
        <v>21955.464285714286</v>
      </c>
      <c r="F128" s="511">
        <f t="shared" si="29"/>
        <v>67696.687868653535</v>
      </c>
      <c r="G128" s="511">
        <f t="shared" si="30"/>
        <v>78674.42001151068</v>
      </c>
      <c r="H128" s="646">
        <f t="shared" si="32"/>
        <v>30327.48459859817</v>
      </c>
      <c r="I128" s="573">
        <f t="shared" si="31"/>
        <v>30327.48459859817</v>
      </c>
      <c r="J128" s="505">
        <f t="shared" si="26"/>
        <v>0</v>
      </c>
      <c r="K128" s="505"/>
      <c r="L128" s="513"/>
      <c r="M128" s="505">
        <f t="shared" si="21"/>
        <v>0</v>
      </c>
      <c r="N128" s="513"/>
      <c r="O128" s="505">
        <f t="shared" si="23"/>
        <v>0</v>
      </c>
      <c r="P128" s="505">
        <f t="shared" si="24"/>
        <v>0</v>
      </c>
      <c r="Q128" s="244"/>
      <c r="R128" s="244"/>
      <c r="S128" s="244"/>
      <c r="T128" s="244"/>
      <c r="U128" s="244"/>
    </row>
    <row r="129" spans="2:21" ht="12.5">
      <c r="B129" s="145" t="str">
        <f t="shared" si="19"/>
        <v/>
      </c>
      <c r="C129" s="496">
        <f>IF(D94="","-",+C128+1)</f>
        <v>2040</v>
      </c>
      <c r="D129" s="350">
        <f>IF(F128+SUM(E$100:E128)=D$93,F128,D$93-SUM(E$100:E128))</f>
        <v>67696.687868653535</v>
      </c>
      <c r="E129" s="510">
        <f>IF(+J97&lt;F128,J97,D129)</f>
        <v>21955.464285714286</v>
      </c>
      <c r="F129" s="511">
        <f t="shared" si="29"/>
        <v>45741.223582939245</v>
      </c>
      <c r="G129" s="511">
        <f t="shared" si="30"/>
        <v>56718.95572579639</v>
      </c>
      <c r="H129" s="646">
        <f t="shared" si="32"/>
        <v>27991.126822437844</v>
      </c>
      <c r="I129" s="573">
        <f t="shared" si="31"/>
        <v>27991.126822437844</v>
      </c>
      <c r="J129" s="505">
        <f t="shared" si="26"/>
        <v>0</v>
      </c>
      <c r="K129" s="505"/>
      <c r="L129" s="513"/>
      <c r="M129" s="505">
        <f t="shared" si="21"/>
        <v>0</v>
      </c>
      <c r="N129" s="513"/>
      <c r="O129" s="505">
        <f t="shared" si="23"/>
        <v>0</v>
      </c>
      <c r="P129" s="505">
        <f t="shared" si="24"/>
        <v>0</v>
      </c>
      <c r="Q129" s="244"/>
      <c r="R129" s="244"/>
      <c r="S129" s="244"/>
      <c r="T129" s="244"/>
      <c r="U129" s="244"/>
    </row>
    <row r="130" spans="2:21" ht="12.5">
      <c r="B130" s="145" t="str">
        <f t="shared" si="19"/>
        <v/>
      </c>
      <c r="C130" s="496">
        <f>IF(D94="","-",+C129+1)</f>
        <v>2041</v>
      </c>
      <c r="D130" s="350">
        <f>IF(F129+SUM(E$100:E129)=D$93,F129,D$93-SUM(E$100:E129))</f>
        <v>45741.223582939245</v>
      </c>
      <c r="E130" s="510">
        <f>IF(+J97&lt;F129,J97,D130)</f>
        <v>21955.464285714286</v>
      </c>
      <c r="F130" s="511">
        <f t="shared" si="29"/>
        <v>23785.759297224959</v>
      </c>
      <c r="G130" s="511">
        <f t="shared" si="30"/>
        <v>34763.4914400821</v>
      </c>
      <c r="H130" s="646">
        <f t="shared" si="32"/>
        <v>25654.769046277514</v>
      </c>
      <c r="I130" s="573">
        <f t="shared" si="31"/>
        <v>25654.769046277514</v>
      </c>
      <c r="J130" s="505">
        <f t="shared" si="26"/>
        <v>0</v>
      </c>
      <c r="K130" s="505"/>
      <c r="L130" s="513"/>
      <c r="M130" s="505">
        <f t="shared" si="21"/>
        <v>0</v>
      </c>
      <c r="N130" s="513"/>
      <c r="O130" s="505">
        <f t="shared" si="23"/>
        <v>0</v>
      </c>
      <c r="P130" s="505">
        <f t="shared" si="24"/>
        <v>0</v>
      </c>
      <c r="Q130" s="244"/>
      <c r="R130" s="244"/>
      <c r="S130" s="244"/>
      <c r="T130" s="244"/>
      <c r="U130" s="244"/>
    </row>
    <row r="131" spans="2:21" ht="12.5">
      <c r="B131" s="145" t="str">
        <f t="shared" si="19"/>
        <v/>
      </c>
      <c r="C131" s="496">
        <f>IF(D94="","-",+C130+1)</f>
        <v>2042</v>
      </c>
      <c r="D131" s="350">
        <f>IF(F130+SUM(E$100:E130)=D$93,F130,D$93-SUM(E$100:E130))</f>
        <v>23785.759297224959</v>
      </c>
      <c r="E131" s="510">
        <f>IF(+J97&lt;F130,J97,D131)</f>
        <v>21955.464285714286</v>
      </c>
      <c r="F131" s="511">
        <f t="shared" si="29"/>
        <v>1830.2950115106723</v>
      </c>
      <c r="G131" s="511">
        <f t="shared" si="30"/>
        <v>12808.027154367815</v>
      </c>
      <c r="H131" s="646">
        <f t="shared" si="32"/>
        <v>23318.411270117187</v>
      </c>
      <c r="I131" s="573">
        <f t="shared" si="31"/>
        <v>23318.411270117187</v>
      </c>
      <c r="J131" s="505">
        <f t="shared" si="26"/>
        <v>0</v>
      </c>
      <c r="K131" s="505"/>
      <c r="L131" s="513"/>
      <c r="M131" s="505">
        <f t="shared" si="21"/>
        <v>0</v>
      </c>
      <c r="N131" s="513"/>
      <c r="O131" s="505">
        <f t="shared" si="23"/>
        <v>0</v>
      </c>
      <c r="P131" s="505">
        <f t="shared" si="24"/>
        <v>0</v>
      </c>
      <c r="Q131" s="244"/>
      <c r="R131" s="244"/>
      <c r="S131" s="244"/>
      <c r="T131" s="244"/>
      <c r="U131" s="244"/>
    </row>
    <row r="132" spans="2:21" ht="12.5">
      <c r="B132" s="145" t="str">
        <f t="shared" ref="B132:B155" si="33">IF(D132=F131,"","IU")</f>
        <v/>
      </c>
      <c r="C132" s="496">
        <f>IF(D94="","-",+C131+1)</f>
        <v>2043</v>
      </c>
      <c r="D132" s="350">
        <f>IF(F131+SUM(E$100:E131)=D$93,F131,D$93-SUM(E$100:E131))</f>
        <v>1830.2950115106723</v>
      </c>
      <c r="E132" s="510">
        <f>IF(+J97&lt;F131,J97,D132)</f>
        <v>1830.2950115106723</v>
      </c>
      <c r="F132" s="511">
        <f t="shared" si="29"/>
        <v>0</v>
      </c>
      <c r="G132" s="511">
        <f t="shared" ref="G132:G155" si="34">+(F132+D132)/2</f>
        <v>915.14750575533617</v>
      </c>
      <c r="H132" s="646">
        <f t="shared" si="32"/>
        <v>1927.6790596720409</v>
      </c>
      <c r="I132" s="573">
        <f t="shared" ref="I132:I155" si="35">+J$96*G132+E132</f>
        <v>1927.6790596720409</v>
      </c>
      <c r="J132" s="505">
        <f t="shared" ref="J132:J155" si="36">+I132-H132</f>
        <v>0</v>
      </c>
      <c r="K132" s="505"/>
      <c r="L132" s="513"/>
      <c r="M132" s="505">
        <f t="shared" ref="M132:M155" si="37">IF(L132&lt;&gt;0,+H132-L132,0)</f>
        <v>0</v>
      </c>
      <c r="N132" s="513"/>
      <c r="O132" s="505">
        <f t="shared" ref="O132:O155" si="38">IF(N132&lt;&gt;0,+I132-N132,0)</f>
        <v>0</v>
      </c>
      <c r="P132" s="505">
        <f t="shared" ref="P132:P155" si="39">+O132-M132</f>
        <v>0</v>
      </c>
      <c r="Q132" s="244"/>
      <c r="R132" s="244"/>
      <c r="S132" s="244"/>
      <c r="T132" s="244"/>
      <c r="U132" s="244"/>
    </row>
    <row r="133" spans="2:21" ht="12.5">
      <c r="B133" s="145" t="str">
        <f t="shared" si="33"/>
        <v/>
      </c>
      <c r="C133" s="496">
        <f>IF(D94="","-",+C132+1)</f>
        <v>2044</v>
      </c>
      <c r="D133" s="350">
        <f>IF(F132+SUM(E$100:E132)=D$93,F132,D$93-SUM(E$100:E132))</f>
        <v>0</v>
      </c>
      <c r="E133" s="510">
        <f>IF(+J97&lt;F132,J97,D133)</f>
        <v>0</v>
      </c>
      <c r="F133" s="511">
        <f t="shared" ref="F133:F155" si="40">+D133-E133</f>
        <v>0</v>
      </c>
      <c r="G133" s="511">
        <f t="shared" si="34"/>
        <v>0</v>
      </c>
      <c r="H133" s="646">
        <f t="shared" si="32"/>
        <v>0</v>
      </c>
      <c r="I133" s="573">
        <f t="shared" si="35"/>
        <v>0</v>
      </c>
      <c r="J133" s="505">
        <f t="shared" si="36"/>
        <v>0</v>
      </c>
      <c r="K133" s="505"/>
      <c r="L133" s="513"/>
      <c r="M133" s="505">
        <f t="shared" si="37"/>
        <v>0</v>
      </c>
      <c r="N133" s="513"/>
      <c r="O133" s="505">
        <f t="shared" si="38"/>
        <v>0</v>
      </c>
      <c r="P133" s="505">
        <f t="shared" si="39"/>
        <v>0</v>
      </c>
      <c r="Q133" s="244"/>
      <c r="R133" s="244"/>
      <c r="S133" s="244"/>
      <c r="T133" s="244"/>
      <c r="U133" s="244"/>
    </row>
    <row r="134" spans="2:21" ht="12.5">
      <c r="B134" s="145" t="str">
        <f t="shared" si="33"/>
        <v/>
      </c>
      <c r="C134" s="496">
        <f>IF(D94="","-",+C133+1)</f>
        <v>2045</v>
      </c>
      <c r="D134" s="350">
        <f>IF(F133+SUM(E$100:E133)=D$93,F133,D$93-SUM(E$100:E133))</f>
        <v>0</v>
      </c>
      <c r="E134" s="510">
        <f>IF(+J97&lt;F133,J97,D134)</f>
        <v>0</v>
      </c>
      <c r="F134" s="511">
        <f t="shared" si="40"/>
        <v>0</v>
      </c>
      <c r="G134" s="511">
        <f t="shared" si="34"/>
        <v>0</v>
      </c>
      <c r="H134" s="646">
        <f t="shared" si="32"/>
        <v>0</v>
      </c>
      <c r="I134" s="573">
        <f t="shared" si="35"/>
        <v>0</v>
      </c>
      <c r="J134" s="505">
        <f t="shared" si="36"/>
        <v>0</v>
      </c>
      <c r="K134" s="505"/>
      <c r="L134" s="513"/>
      <c r="M134" s="505">
        <f t="shared" si="37"/>
        <v>0</v>
      </c>
      <c r="N134" s="513"/>
      <c r="O134" s="505">
        <f t="shared" si="38"/>
        <v>0</v>
      </c>
      <c r="P134" s="505">
        <f t="shared" si="39"/>
        <v>0</v>
      </c>
      <c r="Q134" s="244"/>
      <c r="R134" s="244"/>
      <c r="S134" s="244"/>
      <c r="T134" s="244"/>
      <c r="U134" s="244"/>
    </row>
    <row r="135" spans="2:21" ht="12.5">
      <c r="B135" s="145" t="str">
        <f t="shared" si="33"/>
        <v/>
      </c>
      <c r="C135" s="496">
        <f>IF(D94="","-",+C134+1)</f>
        <v>2046</v>
      </c>
      <c r="D135" s="350">
        <f>IF(F134+SUM(E$100:E134)=D$93,F134,D$93-SUM(E$100:E134))</f>
        <v>0</v>
      </c>
      <c r="E135" s="510">
        <f>IF(+J97&lt;F134,J97,D135)</f>
        <v>0</v>
      </c>
      <c r="F135" s="511">
        <f t="shared" si="40"/>
        <v>0</v>
      </c>
      <c r="G135" s="511">
        <f t="shared" si="34"/>
        <v>0</v>
      </c>
      <c r="H135" s="646">
        <f t="shared" si="32"/>
        <v>0</v>
      </c>
      <c r="I135" s="573">
        <f t="shared" si="35"/>
        <v>0</v>
      </c>
      <c r="J135" s="505">
        <f t="shared" si="36"/>
        <v>0</v>
      </c>
      <c r="K135" s="505"/>
      <c r="L135" s="513"/>
      <c r="M135" s="505">
        <f t="shared" si="37"/>
        <v>0</v>
      </c>
      <c r="N135" s="513"/>
      <c r="O135" s="505">
        <f t="shared" si="38"/>
        <v>0</v>
      </c>
      <c r="P135" s="505">
        <f t="shared" si="39"/>
        <v>0</v>
      </c>
      <c r="Q135" s="244"/>
      <c r="R135" s="244"/>
      <c r="S135" s="244"/>
      <c r="T135" s="244"/>
      <c r="U135" s="244"/>
    </row>
    <row r="136" spans="2:21" ht="12.5">
      <c r="B136" s="145" t="str">
        <f t="shared" si="33"/>
        <v/>
      </c>
      <c r="C136" s="496">
        <f>IF(D94="","-",+C135+1)</f>
        <v>2047</v>
      </c>
      <c r="D136" s="350">
        <f>IF(F135+SUM(E$100:E135)=D$93,F135,D$93-SUM(E$100:E135))</f>
        <v>0</v>
      </c>
      <c r="E136" s="510">
        <f>IF(+J97&lt;F135,J97,D136)</f>
        <v>0</v>
      </c>
      <c r="F136" s="511">
        <f t="shared" si="40"/>
        <v>0</v>
      </c>
      <c r="G136" s="511">
        <f t="shared" si="34"/>
        <v>0</v>
      </c>
      <c r="H136" s="646">
        <f t="shared" si="32"/>
        <v>0</v>
      </c>
      <c r="I136" s="573">
        <f t="shared" si="35"/>
        <v>0</v>
      </c>
      <c r="J136" s="505">
        <f t="shared" si="36"/>
        <v>0</v>
      </c>
      <c r="K136" s="505"/>
      <c r="L136" s="513"/>
      <c r="M136" s="505">
        <f t="shared" si="37"/>
        <v>0</v>
      </c>
      <c r="N136" s="513"/>
      <c r="O136" s="505">
        <f t="shared" si="38"/>
        <v>0</v>
      </c>
      <c r="P136" s="505">
        <f t="shared" si="39"/>
        <v>0</v>
      </c>
      <c r="Q136" s="244"/>
      <c r="R136" s="244"/>
      <c r="S136" s="244"/>
      <c r="T136" s="244"/>
      <c r="U136" s="244"/>
    </row>
    <row r="137" spans="2:21" ht="12.5">
      <c r="B137" s="145" t="str">
        <f t="shared" si="33"/>
        <v/>
      </c>
      <c r="C137" s="496">
        <f>IF(D94="","-",+C136+1)</f>
        <v>2048</v>
      </c>
      <c r="D137" s="350">
        <f>IF(F136+SUM(E$100:E136)=D$93,F136,D$93-SUM(E$100:E136))</f>
        <v>0</v>
      </c>
      <c r="E137" s="510">
        <f>IF(+J97&lt;F136,J97,D137)</f>
        <v>0</v>
      </c>
      <c r="F137" s="511">
        <f t="shared" si="40"/>
        <v>0</v>
      </c>
      <c r="G137" s="511">
        <f t="shared" si="34"/>
        <v>0</v>
      </c>
      <c r="H137" s="646">
        <f t="shared" si="32"/>
        <v>0</v>
      </c>
      <c r="I137" s="573">
        <f t="shared" si="35"/>
        <v>0</v>
      </c>
      <c r="J137" s="505">
        <f t="shared" si="36"/>
        <v>0</v>
      </c>
      <c r="K137" s="505"/>
      <c r="L137" s="513"/>
      <c r="M137" s="505">
        <f t="shared" si="37"/>
        <v>0</v>
      </c>
      <c r="N137" s="513"/>
      <c r="O137" s="505">
        <f t="shared" si="38"/>
        <v>0</v>
      </c>
      <c r="P137" s="505">
        <f t="shared" si="39"/>
        <v>0</v>
      </c>
      <c r="Q137" s="244"/>
      <c r="R137" s="244"/>
      <c r="S137" s="244"/>
      <c r="T137" s="244"/>
      <c r="U137" s="244"/>
    </row>
    <row r="138" spans="2:21" ht="12.5">
      <c r="B138" s="145" t="str">
        <f t="shared" si="33"/>
        <v/>
      </c>
      <c r="C138" s="496">
        <f>IF(D94="","-",+C137+1)</f>
        <v>2049</v>
      </c>
      <c r="D138" s="350">
        <f>IF(F137+SUM(E$100:E137)=D$93,F137,D$93-SUM(E$100:E137))</f>
        <v>0</v>
      </c>
      <c r="E138" s="510">
        <f>IF(+J97&lt;F137,J97,D138)</f>
        <v>0</v>
      </c>
      <c r="F138" s="511">
        <f t="shared" si="40"/>
        <v>0</v>
      </c>
      <c r="G138" s="511">
        <f t="shared" si="34"/>
        <v>0</v>
      </c>
      <c r="H138" s="646">
        <f t="shared" si="32"/>
        <v>0</v>
      </c>
      <c r="I138" s="573">
        <f t="shared" si="35"/>
        <v>0</v>
      </c>
      <c r="J138" s="505">
        <f t="shared" si="36"/>
        <v>0</v>
      </c>
      <c r="K138" s="505"/>
      <c r="L138" s="513"/>
      <c r="M138" s="505">
        <f t="shared" si="37"/>
        <v>0</v>
      </c>
      <c r="N138" s="513"/>
      <c r="O138" s="505">
        <f t="shared" si="38"/>
        <v>0</v>
      </c>
      <c r="P138" s="505">
        <f t="shared" si="39"/>
        <v>0</v>
      </c>
      <c r="Q138" s="244"/>
      <c r="R138" s="244"/>
      <c r="S138" s="244"/>
      <c r="T138" s="244"/>
      <c r="U138" s="244"/>
    </row>
    <row r="139" spans="2:21" ht="12.5">
      <c r="B139" s="145" t="str">
        <f t="shared" si="33"/>
        <v/>
      </c>
      <c r="C139" s="496">
        <f>IF(D94="","-",+C138+1)</f>
        <v>2050</v>
      </c>
      <c r="D139" s="350">
        <f>IF(F138+SUM(E$100:E138)=D$93,F138,D$93-SUM(E$100:E138))</f>
        <v>0</v>
      </c>
      <c r="E139" s="510">
        <f>IF(+J97&lt;F138,J97,D139)</f>
        <v>0</v>
      </c>
      <c r="F139" s="511">
        <f t="shared" si="40"/>
        <v>0</v>
      </c>
      <c r="G139" s="511">
        <f t="shared" si="34"/>
        <v>0</v>
      </c>
      <c r="H139" s="646">
        <f t="shared" si="32"/>
        <v>0</v>
      </c>
      <c r="I139" s="573">
        <f t="shared" si="35"/>
        <v>0</v>
      </c>
      <c r="J139" s="505">
        <f t="shared" si="36"/>
        <v>0</v>
      </c>
      <c r="K139" s="505"/>
      <c r="L139" s="513"/>
      <c r="M139" s="505">
        <f t="shared" si="37"/>
        <v>0</v>
      </c>
      <c r="N139" s="513"/>
      <c r="O139" s="505">
        <f t="shared" si="38"/>
        <v>0</v>
      </c>
      <c r="P139" s="505">
        <f t="shared" si="39"/>
        <v>0</v>
      </c>
      <c r="Q139" s="244"/>
      <c r="R139" s="244"/>
      <c r="S139" s="244"/>
      <c r="T139" s="244"/>
      <c r="U139" s="244"/>
    </row>
    <row r="140" spans="2:21" ht="12.5">
      <c r="B140" s="145" t="str">
        <f t="shared" si="33"/>
        <v/>
      </c>
      <c r="C140" s="496">
        <f>IF(D94="","-",+C139+1)</f>
        <v>2051</v>
      </c>
      <c r="D140" s="350">
        <f>IF(F139+SUM(E$100:E139)=D$93,F139,D$93-SUM(E$100:E139))</f>
        <v>0</v>
      </c>
      <c r="E140" s="510">
        <f>IF(+J97&lt;F139,J97,D140)</f>
        <v>0</v>
      </c>
      <c r="F140" s="511">
        <f t="shared" si="40"/>
        <v>0</v>
      </c>
      <c r="G140" s="511">
        <f t="shared" si="34"/>
        <v>0</v>
      </c>
      <c r="H140" s="646">
        <f t="shared" si="32"/>
        <v>0</v>
      </c>
      <c r="I140" s="573">
        <f t="shared" si="35"/>
        <v>0</v>
      </c>
      <c r="J140" s="505">
        <f t="shared" si="36"/>
        <v>0</v>
      </c>
      <c r="K140" s="505"/>
      <c r="L140" s="513"/>
      <c r="M140" s="505">
        <f t="shared" si="37"/>
        <v>0</v>
      </c>
      <c r="N140" s="513"/>
      <c r="O140" s="505">
        <f t="shared" si="38"/>
        <v>0</v>
      </c>
      <c r="P140" s="505">
        <f t="shared" si="39"/>
        <v>0</v>
      </c>
      <c r="Q140" s="244"/>
      <c r="R140" s="244"/>
      <c r="S140" s="244"/>
      <c r="T140" s="244"/>
      <c r="U140" s="244"/>
    </row>
    <row r="141" spans="2:21" ht="12.5">
      <c r="B141" s="145" t="str">
        <f t="shared" si="33"/>
        <v/>
      </c>
      <c r="C141" s="496">
        <f>IF(D94="","-",+C140+1)</f>
        <v>2052</v>
      </c>
      <c r="D141" s="350">
        <f>IF(F140+SUM(E$100:E140)=D$93,F140,D$93-SUM(E$100:E140))</f>
        <v>0</v>
      </c>
      <c r="E141" s="510">
        <f>IF(+J97&lt;F140,J97,D141)</f>
        <v>0</v>
      </c>
      <c r="F141" s="511">
        <f t="shared" si="40"/>
        <v>0</v>
      </c>
      <c r="G141" s="511">
        <f t="shared" si="34"/>
        <v>0</v>
      </c>
      <c r="H141" s="646">
        <f t="shared" si="32"/>
        <v>0</v>
      </c>
      <c r="I141" s="573">
        <f t="shared" si="35"/>
        <v>0</v>
      </c>
      <c r="J141" s="505">
        <f t="shared" si="36"/>
        <v>0</v>
      </c>
      <c r="K141" s="505"/>
      <c r="L141" s="513"/>
      <c r="M141" s="505">
        <f t="shared" si="37"/>
        <v>0</v>
      </c>
      <c r="N141" s="513"/>
      <c r="O141" s="505">
        <f t="shared" si="38"/>
        <v>0</v>
      </c>
      <c r="P141" s="505">
        <f t="shared" si="39"/>
        <v>0</v>
      </c>
      <c r="Q141" s="244"/>
      <c r="R141" s="244"/>
      <c r="S141" s="244"/>
      <c r="T141" s="244"/>
      <c r="U141" s="244"/>
    </row>
    <row r="142" spans="2:21" ht="12.5">
      <c r="B142" s="145" t="str">
        <f t="shared" si="33"/>
        <v/>
      </c>
      <c r="C142" s="496">
        <f>IF(D94="","-",+C141+1)</f>
        <v>2053</v>
      </c>
      <c r="D142" s="350">
        <f>IF(F141+SUM(E$100:E141)=D$93,F141,D$93-SUM(E$100:E141))</f>
        <v>0</v>
      </c>
      <c r="E142" s="510">
        <f>IF(+J97&lt;F141,J97,D142)</f>
        <v>0</v>
      </c>
      <c r="F142" s="511">
        <f t="shared" si="40"/>
        <v>0</v>
      </c>
      <c r="G142" s="511">
        <f t="shared" si="34"/>
        <v>0</v>
      </c>
      <c r="H142" s="646">
        <f t="shared" si="32"/>
        <v>0</v>
      </c>
      <c r="I142" s="573">
        <f t="shared" si="35"/>
        <v>0</v>
      </c>
      <c r="J142" s="505">
        <f t="shared" si="36"/>
        <v>0</v>
      </c>
      <c r="K142" s="505"/>
      <c r="L142" s="513"/>
      <c r="M142" s="505">
        <f t="shared" si="37"/>
        <v>0</v>
      </c>
      <c r="N142" s="513"/>
      <c r="O142" s="505">
        <f t="shared" si="38"/>
        <v>0</v>
      </c>
      <c r="P142" s="505">
        <f t="shared" si="39"/>
        <v>0</v>
      </c>
      <c r="Q142" s="244"/>
      <c r="R142" s="244"/>
      <c r="S142" s="244"/>
      <c r="T142" s="244"/>
      <c r="U142" s="244"/>
    </row>
    <row r="143" spans="2:21" ht="12.5">
      <c r="B143" s="145" t="str">
        <f t="shared" si="33"/>
        <v/>
      </c>
      <c r="C143" s="496">
        <f>IF(D94="","-",+C142+1)</f>
        <v>2054</v>
      </c>
      <c r="D143" s="350">
        <f>IF(F142+SUM(E$100:E142)=D$93,F142,D$93-SUM(E$100:E142))</f>
        <v>0</v>
      </c>
      <c r="E143" s="510">
        <f>IF(+J97&lt;F142,J97,D143)</f>
        <v>0</v>
      </c>
      <c r="F143" s="511">
        <f t="shared" si="40"/>
        <v>0</v>
      </c>
      <c r="G143" s="511">
        <f t="shared" si="34"/>
        <v>0</v>
      </c>
      <c r="H143" s="646">
        <f t="shared" si="32"/>
        <v>0</v>
      </c>
      <c r="I143" s="573">
        <f t="shared" si="35"/>
        <v>0</v>
      </c>
      <c r="J143" s="505">
        <f t="shared" si="36"/>
        <v>0</v>
      </c>
      <c r="K143" s="505"/>
      <c r="L143" s="513"/>
      <c r="M143" s="505">
        <f t="shared" si="37"/>
        <v>0</v>
      </c>
      <c r="N143" s="513"/>
      <c r="O143" s="505">
        <f t="shared" si="38"/>
        <v>0</v>
      </c>
      <c r="P143" s="505">
        <f t="shared" si="39"/>
        <v>0</v>
      </c>
      <c r="Q143" s="244"/>
      <c r="R143" s="244"/>
      <c r="S143" s="244"/>
      <c r="T143" s="244"/>
      <c r="U143" s="244"/>
    </row>
    <row r="144" spans="2:21" ht="12.5">
      <c r="B144" s="145" t="str">
        <f t="shared" si="33"/>
        <v/>
      </c>
      <c r="C144" s="496">
        <f>IF(D94="","-",+C143+1)</f>
        <v>2055</v>
      </c>
      <c r="D144" s="350">
        <f>IF(F143+SUM(E$100:E143)=D$93,F143,D$93-SUM(E$100:E143))</f>
        <v>0</v>
      </c>
      <c r="E144" s="510">
        <f>IF(+J97&lt;F143,J97,D144)</f>
        <v>0</v>
      </c>
      <c r="F144" s="511">
        <f t="shared" si="40"/>
        <v>0</v>
      </c>
      <c r="G144" s="511">
        <f t="shared" si="34"/>
        <v>0</v>
      </c>
      <c r="H144" s="646">
        <f t="shared" si="32"/>
        <v>0</v>
      </c>
      <c r="I144" s="573">
        <f t="shared" si="35"/>
        <v>0</v>
      </c>
      <c r="J144" s="505">
        <f t="shared" si="36"/>
        <v>0</v>
      </c>
      <c r="K144" s="505"/>
      <c r="L144" s="513"/>
      <c r="M144" s="505">
        <f t="shared" si="37"/>
        <v>0</v>
      </c>
      <c r="N144" s="513"/>
      <c r="O144" s="505">
        <f t="shared" si="38"/>
        <v>0</v>
      </c>
      <c r="P144" s="505">
        <f t="shared" si="39"/>
        <v>0</v>
      </c>
      <c r="Q144" s="244"/>
      <c r="R144" s="244"/>
      <c r="S144" s="244"/>
      <c r="T144" s="244"/>
      <c r="U144" s="244"/>
    </row>
    <row r="145" spans="2:21" ht="12.5">
      <c r="B145" s="145" t="str">
        <f t="shared" si="33"/>
        <v/>
      </c>
      <c r="C145" s="496">
        <f>IF(D94="","-",+C144+1)</f>
        <v>2056</v>
      </c>
      <c r="D145" s="350">
        <f>IF(F144+SUM(E$100:E144)=D$93,F144,D$93-SUM(E$100:E144))</f>
        <v>0</v>
      </c>
      <c r="E145" s="510">
        <f>IF(+J97&lt;F144,J97,D145)</f>
        <v>0</v>
      </c>
      <c r="F145" s="511">
        <f t="shared" si="40"/>
        <v>0</v>
      </c>
      <c r="G145" s="511">
        <f t="shared" si="34"/>
        <v>0</v>
      </c>
      <c r="H145" s="646">
        <f t="shared" si="32"/>
        <v>0</v>
      </c>
      <c r="I145" s="573">
        <f t="shared" si="35"/>
        <v>0</v>
      </c>
      <c r="J145" s="505">
        <f t="shared" si="36"/>
        <v>0</v>
      </c>
      <c r="K145" s="505"/>
      <c r="L145" s="513"/>
      <c r="M145" s="505">
        <f t="shared" si="37"/>
        <v>0</v>
      </c>
      <c r="N145" s="513"/>
      <c r="O145" s="505">
        <f t="shared" si="38"/>
        <v>0</v>
      </c>
      <c r="P145" s="505">
        <f t="shared" si="39"/>
        <v>0</v>
      </c>
      <c r="Q145" s="244"/>
      <c r="R145" s="244"/>
      <c r="S145" s="244"/>
      <c r="T145" s="244"/>
      <c r="U145" s="244"/>
    </row>
    <row r="146" spans="2:21" ht="12.5">
      <c r="B146" s="145" t="str">
        <f t="shared" si="33"/>
        <v/>
      </c>
      <c r="C146" s="496">
        <f>IF(D94="","-",+C145+1)</f>
        <v>2057</v>
      </c>
      <c r="D146" s="350">
        <f>IF(F145+SUM(E$100:E145)=D$93,F145,D$93-SUM(E$100:E145))</f>
        <v>0</v>
      </c>
      <c r="E146" s="510">
        <f>IF(+J97&lt;F145,J97,D146)</f>
        <v>0</v>
      </c>
      <c r="F146" s="511">
        <f t="shared" si="40"/>
        <v>0</v>
      </c>
      <c r="G146" s="511">
        <f t="shared" si="34"/>
        <v>0</v>
      </c>
      <c r="H146" s="646">
        <f t="shared" si="32"/>
        <v>0</v>
      </c>
      <c r="I146" s="573">
        <f t="shared" si="35"/>
        <v>0</v>
      </c>
      <c r="J146" s="505">
        <f t="shared" si="36"/>
        <v>0</v>
      </c>
      <c r="K146" s="505"/>
      <c r="L146" s="513"/>
      <c r="M146" s="505">
        <f t="shared" si="37"/>
        <v>0</v>
      </c>
      <c r="N146" s="513"/>
      <c r="O146" s="505">
        <f t="shared" si="38"/>
        <v>0</v>
      </c>
      <c r="P146" s="505">
        <f t="shared" si="39"/>
        <v>0</v>
      </c>
      <c r="Q146" s="244"/>
      <c r="R146" s="244"/>
      <c r="S146" s="244"/>
      <c r="T146" s="244"/>
      <c r="U146" s="244"/>
    </row>
    <row r="147" spans="2:21" ht="12.5">
      <c r="B147" s="145" t="str">
        <f t="shared" si="33"/>
        <v/>
      </c>
      <c r="C147" s="496">
        <f>IF(D94="","-",+C146+1)</f>
        <v>2058</v>
      </c>
      <c r="D147" s="350">
        <f>IF(F146+SUM(E$100:E146)=D$93,F146,D$93-SUM(E$100:E146))</f>
        <v>0</v>
      </c>
      <c r="E147" s="510">
        <f>IF(+J97&lt;F146,J97,D147)</f>
        <v>0</v>
      </c>
      <c r="F147" s="511">
        <f t="shared" si="40"/>
        <v>0</v>
      </c>
      <c r="G147" s="511">
        <f t="shared" si="34"/>
        <v>0</v>
      </c>
      <c r="H147" s="646">
        <f t="shared" si="32"/>
        <v>0</v>
      </c>
      <c r="I147" s="573">
        <f t="shared" si="35"/>
        <v>0</v>
      </c>
      <c r="J147" s="505">
        <f t="shared" si="36"/>
        <v>0</v>
      </c>
      <c r="K147" s="505"/>
      <c r="L147" s="513"/>
      <c r="M147" s="505">
        <f t="shared" si="37"/>
        <v>0</v>
      </c>
      <c r="N147" s="513"/>
      <c r="O147" s="505">
        <f t="shared" si="38"/>
        <v>0</v>
      </c>
      <c r="P147" s="505">
        <f t="shared" si="39"/>
        <v>0</v>
      </c>
      <c r="Q147" s="244"/>
      <c r="R147" s="244"/>
      <c r="S147" s="244"/>
      <c r="T147" s="244"/>
      <c r="U147" s="244"/>
    </row>
    <row r="148" spans="2:21" ht="12.5">
      <c r="B148" s="145" t="str">
        <f t="shared" si="33"/>
        <v/>
      </c>
      <c r="C148" s="496">
        <f>IF(D94="","-",+C147+1)</f>
        <v>2059</v>
      </c>
      <c r="D148" s="350">
        <f>IF(F147+SUM(E$100:E147)=D$93,F147,D$93-SUM(E$100:E147))</f>
        <v>0</v>
      </c>
      <c r="E148" s="510">
        <f>IF(+J97&lt;F147,J97,D148)</f>
        <v>0</v>
      </c>
      <c r="F148" s="511">
        <f t="shared" si="40"/>
        <v>0</v>
      </c>
      <c r="G148" s="511">
        <f t="shared" si="34"/>
        <v>0</v>
      </c>
      <c r="H148" s="646">
        <f t="shared" si="32"/>
        <v>0</v>
      </c>
      <c r="I148" s="573">
        <f t="shared" si="35"/>
        <v>0</v>
      </c>
      <c r="J148" s="505">
        <f t="shared" si="36"/>
        <v>0</v>
      </c>
      <c r="K148" s="505"/>
      <c r="L148" s="513"/>
      <c r="M148" s="505">
        <f t="shared" si="37"/>
        <v>0</v>
      </c>
      <c r="N148" s="513"/>
      <c r="O148" s="505">
        <f t="shared" si="38"/>
        <v>0</v>
      </c>
      <c r="P148" s="505">
        <f t="shared" si="39"/>
        <v>0</v>
      </c>
      <c r="Q148" s="244"/>
      <c r="R148" s="244"/>
      <c r="S148" s="244"/>
      <c r="T148" s="244"/>
      <c r="U148" s="244"/>
    </row>
    <row r="149" spans="2:21" ht="12.5">
      <c r="B149" s="145" t="str">
        <f t="shared" si="33"/>
        <v/>
      </c>
      <c r="C149" s="496">
        <f>IF(D94="","-",+C148+1)</f>
        <v>2060</v>
      </c>
      <c r="D149" s="350">
        <f>IF(F148+SUM(E$100:E148)=D$93,F148,D$93-SUM(E$100:E148))</f>
        <v>0</v>
      </c>
      <c r="E149" s="510">
        <f>IF(+J97&lt;F148,J97,D149)</f>
        <v>0</v>
      </c>
      <c r="F149" s="511">
        <f t="shared" si="40"/>
        <v>0</v>
      </c>
      <c r="G149" s="511">
        <f t="shared" si="34"/>
        <v>0</v>
      </c>
      <c r="H149" s="646">
        <f t="shared" si="32"/>
        <v>0</v>
      </c>
      <c r="I149" s="573">
        <f t="shared" si="35"/>
        <v>0</v>
      </c>
      <c r="J149" s="505">
        <f t="shared" si="36"/>
        <v>0</v>
      </c>
      <c r="K149" s="505"/>
      <c r="L149" s="513"/>
      <c r="M149" s="505">
        <f t="shared" si="37"/>
        <v>0</v>
      </c>
      <c r="N149" s="513"/>
      <c r="O149" s="505">
        <f t="shared" si="38"/>
        <v>0</v>
      </c>
      <c r="P149" s="505">
        <f t="shared" si="39"/>
        <v>0</v>
      </c>
      <c r="Q149" s="244"/>
      <c r="R149" s="244"/>
      <c r="S149" s="244"/>
      <c r="T149" s="244"/>
      <c r="U149" s="244"/>
    </row>
    <row r="150" spans="2:21" ht="12.5">
      <c r="B150" s="145" t="str">
        <f t="shared" si="33"/>
        <v/>
      </c>
      <c r="C150" s="496">
        <f>IF(D94="","-",+C149+1)</f>
        <v>2061</v>
      </c>
      <c r="D150" s="350">
        <f>IF(F149+SUM(E$100:E149)=D$93,F149,D$93-SUM(E$100:E149))</f>
        <v>0</v>
      </c>
      <c r="E150" s="510">
        <f>IF(+J97&lt;F149,J97,D150)</f>
        <v>0</v>
      </c>
      <c r="F150" s="511">
        <f t="shared" si="40"/>
        <v>0</v>
      </c>
      <c r="G150" s="511">
        <f t="shared" si="34"/>
        <v>0</v>
      </c>
      <c r="H150" s="646">
        <f t="shared" si="32"/>
        <v>0</v>
      </c>
      <c r="I150" s="573">
        <f t="shared" si="35"/>
        <v>0</v>
      </c>
      <c r="J150" s="505">
        <f t="shared" si="36"/>
        <v>0</v>
      </c>
      <c r="K150" s="505"/>
      <c r="L150" s="513"/>
      <c r="M150" s="505">
        <f t="shared" si="37"/>
        <v>0</v>
      </c>
      <c r="N150" s="513"/>
      <c r="O150" s="505">
        <f t="shared" si="38"/>
        <v>0</v>
      </c>
      <c r="P150" s="505">
        <f t="shared" si="39"/>
        <v>0</v>
      </c>
      <c r="Q150" s="244"/>
      <c r="R150" s="244"/>
      <c r="S150" s="244"/>
      <c r="T150" s="244"/>
      <c r="U150" s="244"/>
    </row>
    <row r="151" spans="2:21" ht="12.5">
      <c r="B151" s="145" t="str">
        <f t="shared" si="33"/>
        <v/>
      </c>
      <c r="C151" s="496">
        <f>IF(D94="","-",+C150+1)</f>
        <v>2062</v>
      </c>
      <c r="D151" s="350">
        <f>IF(F150+SUM(E$100:E150)=D$93,F150,D$93-SUM(E$100:E150))</f>
        <v>0</v>
      </c>
      <c r="E151" s="510">
        <f>IF(+J97&lt;F150,J97,D151)</f>
        <v>0</v>
      </c>
      <c r="F151" s="511">
        <f t="shared" si="40"/>
        <v>0</v>
      </c>
      <c r="G151" s="511">
        <f t="shared" si="34"/>
        <v>0</v>
      </c>
      <c r="H151" s="646">
        <f t="shared" si="32"/>
        <v>0</v>
      </c>
      <c r="I151" s="573">
        <f t="shared" si="35"/>
        <v>0</v>
      </c>
      <c r="J151" s="505">
        <f t="shared" si="36"/>
        <v>0</v>
      </c>
      <c r="K151" s="505"/>
      <c r="L151" s="513"/>
      <c r="M151" s="505">
        <f t="shared" si="37"/>
        <v>0</v>
      </c>
      <c r="N151" s="513"/>
      <c r="O151" s="505">
        <f t="shared" si="38"/>
        <v>0</v>
      </c>
      <c r="P151" s="505">
        <f t="shared" si="39"/>
        <v>0</v>
      </c>
      <c r="Q151" s="244"/>
      <c r="R151" s="244"/>
      <c r="S151" s="244"/>
      <c r="T151" s="244"/>
      <c r="U151" s="244"/>
    </row>
    <row r="152" spans="2:21" ht="12.5">
      <c r="B152" s="145" t="str">
        <f t="shared" si="33"/>
        <v/>
      </c>
      <c r="C152" s="496">
        <f>IF(D94="","-",+C151+1)</f>
        <v>2063</v>
      </c>
      <c r="D152" s="350">
        <f>IF(F151+SUM(E$100:E151)=D$93,F151,D$93-SUM(E$100:E151))</f>
        <v>0</v>
      </c>
      <c r="E152" s="510">
        <f>IF(+J97&lt;F151,J97,D152)</f>
        <v>0</v>
      </c>
      <c r="F152" s="511">
        <f t="shared" si="40"/>
        <v>0</v>
      </c>
      <c r="G152" s="511">
        <f t="shared" si="34"/>
        <v>0</v>
      </c>
      <c r="H152" s="646">
        <f t="shared" si="32"/>
        <v>0</v>
      </c>
      <c r="I152" s="573">
        <f t="shared" si="35"/>
        <v>0</v>
      </c>
      <c r="J152" s="505">
        <f t="shared" si="36"/>
        <v>0</v>
      </c>
      <c r="K152" s="505"/>
      <c r="L152" s="513"/>
      <c r="M152" s="505">
        <f t="shared" si="37"/>
        <v>0</v>
      </c>
      <c r="N152" s="513"/>
      <c r="O152" s="505">
        <f t="shared" si="38"/>
        <v>0</v>
      </c>
      <c r="P152" s="505">
        <f t="shared" si="39"/>
        <v>0</v>
      </c>
      <c r="Q152" s="244"/>
      <c r="R152" s="244"/>
      <c r="S152" s="244"/>
      <c r="T152" s="244"/>
      <c r="U152" s="244"/>
    </row>
    <row r="153" spans="2:21" ht="12.5">
      <c r="B153" s="145" t="str">
        <f t="shared" si="33"/>
        <v/>
      </c>
      <c r="C153" s="496">
        <f>IF(D94="","-",+C152+1)</f>
        <v>2064</v>
      </c>
      <c r="D153" s="350">
        <f>IF(F152+SUM(E$100:E152)=D$93,F152,D$93-SUM(E$100:E152))</f>
        <v>0</v>
      </c>
      <c r="E153" s="510">
        <f>IF(+J97&lt;F152,J97,D153)</f>
        <v>0</v>
      </c>
      <c r="F153" s="511">
        <f t="shared" si="40"/>
        <v>0</v>
      </c>
      <c r="G153" s="511">
        <f t="shared" si="34"/>
        <v>0</v>
      </c>
      <c r="H153" s="646">
        <f t="shared" si="32"/>
        <v>0</v>
      </c>
      <c r="I153" s="573">
        <f t="shared" si="35"/>
        <v>0</v>
      </c>
      <c r="J153" s="505">
        <f t="shared" si="36"/>
        <v>0</v>
      </c>
      <c r="K153" s="505"/>
      <c r="L153" s="513"/>
      <c r="M153" s="505">
        <f t="shared" si="37"/>
        <v>0</v>
      </c>
      <c r="N153" s="513"/>
      <c r="O153" s="505">
        <f t="shared" si="38"/>
        <v>0</v>
      </c>
      <c r="P153" s="505">
        <f t="shared" si="39"/>
        <v>0</v>
      </c>
      <c r="Q153" s="244"/>
      <c r="R153" s="244"/>
      <c r="S153" s="244"/>
      <c r="T153" s="244"/>
      <c r="U153" s="244"/>
    </row>
    <row r="154" spans="2:21" ht="12.5">
      <c r="B154" s="145" t="str">
        <f t="shared" si="33"/>
        <v/>
      </c>
      <c r="C154" s="496">
        <f>IF(D94="","-",+C153+1)</f>
        <v>2065</v>
      </c>
      <c r="D154" s="350">
        <f>IF(F153+SUM(E$100:E153)=D$93,F153,D$93-SUM(E$100:E153))</f>
        <v>0</v>
      </c>
      <c r="E154" s="510">
        <f>IF(+J97&lt;F153,J97,D154)</f>
        <v>0</v>
      </c>
      <c r="F154" s="511">
        <f t="shared" si="40"/>
        <v>0</v>
      </c>
      <c r="G154" s="511">
        <f t="shared" si="34"/>
        <v>0</v>
      </c>
      <c r="H154" s="646">
        <f t="shared" si="32"/>
        <v>0</v>
      </c>
      <c r="I154" s="573">
        <f t="shared" si="35"/>
        <v>0</v>
      </c>
      <c r="J154" s="505">
        <f t="shared" si="36"/>
        <v>0</v>
      </c>
      <c r="K154" s="505"/>
      <c r="L154" s="513"/>
      <c r="M154" s="505">
        <f t="shared" si="37"/>
        <v>0</v>
      </c>
      <c r="N154" s="513"/>
      <c r="O154" s="505">
        <f t="shared" si="38"/>
        <v>0</v>
      </c>
      <c r="P154" s="505">
        <f t="shared" si="39"/>
        <v>0</v>
      </c>
      <c r="Q154" s="244"/>
      <c r="R154" s="244"/>
      <c r="S154" s="244"/>
      <c r="T154" s="244"/>
      <c r="U154" s="244"/>
    </row>
    <row r="155" spans="2:21" ht="13" thickBot="1">
      <c r="B155" s="145" t="str">
        <f t="shared" si="33"/>
        <v/>
      </c>
      <c r="C155" s="525">
        <f>IF(D94="","-",+C154+1)</f>
        <v>2066</v>
      </c>
      <c r="D155" s="528">
        <f>IF(F154+SUM(E$100:E154)=D$93,F154,D$93-SUM(E$100:E154))</f>
        <v>0</v>
      </c>
      <c r="E155" s="527">
        <f>IF(+J97&lt;F154,J97,D155)</f>
        <v>0</v>
      </c>
      <c r="F155" s="528">
        <f t="shared" si="40"/>
        <v>0</v>
      </c>
      <c r="G155" s="528">
        <f t="shared" si="34"/>
        <v>0</v>
      </c>
      <c r="H155" s="646">
        <f t="shared" si="32"/>
        <v>0</v>
      </c>
      <c r="I155" s="574">
        <f t="shared" si="35"/>
        <v>0</v>
      </c>
      <c r="J155" s="532">
        <f t="shared" si="36"/>
        <v>0</v>
      </c>
      <c r="K155" s="505"/>
      <c r="L155" s="531"/>
      <c r="M155" s="532">
        <f t="shared" si="37"/>
        <v>0</v>
      </c>
      <c r="N155" s="531"/>
      <c r="O155" s="532">
        <f t="shared" si="38"/>
        <v>0</v>
      </c>
      <c r="P155" s="532">
        <f t="shared" si="39"/>
        <v>0</v>
      </c>
      <c r="Q155" s="244"/>
      <c r="R155" s="244"/>
      <c r="S155" s="244"/>
      <c r="T155" s="244"/>
      <c r="U155" s="244"/>
    </row>
    <row r="156" spans="2:21" ht="12.5">
      <c r="C156" s="350" t="s">
        <v>75</v>
      </c>
      <c r="D156" s="295"/>
      <c r="E156" s="295">
        <f>SUM(E100:E155)</f>
        <v>614753.00000000023</v>
      </c>
      <c r="F156" s="295"/>
      <c r="G156" s="295"/>
      <c r="H156" s="295">
        <f>SUM(H100:H155)</f>
        <v>1752522.4017899099</v>
      </c>
      <c r="I156" s="295">
        <f>SUM(I100:I155)</f>
        <v>1752522.4017899099</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6" priority="1" stopIfTrue="1" operator="equal">
      <formula>$I$10</formula>
    </cfRule>
  </conditionalFormatting>
  <conditionalFormatting sqref="C100:C155">
    <cfRule type="cellIs" dxfId="45"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92D050"/>
  </sheetPr>
  <dimension ref="A1:U163"/>
  <sheetViews>
    <sheetView tabSelected="1" view="pageBreakPreview" zoomScale="90" zoomScaleNormal="100" zoomScaleSheetLayoutView="9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4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591" t="s">
        <v>237</v>
      </c>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1273577.8300042083</v>
      </c>
      <c r="P5" s="244"/>
      <c r="R5" s="244"/>
      <c r="S5" s="244"/>
      <c r="T5" s="244"/>
      <c r="U5" s="244"/>
    </row>
    <row r="6" spans="1:21" ht="15.5">
      <c r="C6" s="592" t="s">
        <v>238</v>
      </c>
      <c r="D6" s="293"/>
      <c r="E6" s="244"/>
      <c r="F6" s="244"/>
      <c r="G6" s="244"/>
      <c r="H6" s="450"/>
      <c r="I6" s="450"/>
      <c r="J6" s="451"/>
      <c r="K6" s="452" t="s">
        <v>243</v>
      </c>
      <c r="L6" s="453"/>
      <c r="M6" s="279"/>
      <c r="N6" s="454">
        <f>VLOOKUP(I10,C17:I73,6)</f>
        <v>1273577.8300042083</v>
      </c>
      <c r="O6" s="244"/>
      <c r="P6" s="244"/>
      <c r="R6" s="244"/>
      <c r="S6" s="244"/>
      <c r="T6" s="244"/>
      <c r="U6" s="244"/>
    </row>
    <row r="7" spans="1:21" ht="13.5" thickBot="1">
      <c r="C7" s="455" t="s">
        <v>46</v>
      </c>
      <c r="D7" s="456" t="s">
        <v>201</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200</v>
      </c>
      <c r="E9" s="466"/>
      <c r="F9" s="466"/>
      <c r="G9" s="466"/>
      <c r="H9" s="466"/>
      <c r="I9" s="467"/>
      <c r="J9" s="468"/>
      <c r="O9" s="469"/>
      <c r="P9" s="279"/>
      <c r="R9" s="244"/>
      <c r="S9" s="244"/>
      <c r="T9" s="244"/>
      <c r="U9" s="244"/>
    </row>
    <row r="10" spans="1:21" ht="13">
      <c r="C10" s="470" t="s">
        <v>49</v>
      </c>
      <c r="D10" s="471">
        <f>11742800*94%</f>
        <v>11038232</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324653.8823529412</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12876000</v>
      </c>
      <c r="E17" s="498">
        <v>18562.052446566122</v>
      </c>
      <c r="F17" s="497">
        <v>12857437.947553433</v>
      </c>
      <c r="G17" s="499">
        <v>1690105.6704770608</v>
      </c>
      <c r="H17" s="500">
        <v>1690105.6704770608</v>
      </c>
      <c r="I17" s="585">
        <f t="shared" ref="I17:I49" si="1">H17-G17</f>
        <v>0</v>
      </c>
      <c r="J17" s="351"/>
      <c r="K17" s="593">
        <f t="shared" ref="K17:K22" si="2">G17</f>
        <v>1690105.6704770608</v>
      </c>
      <c r="L17" s="594">
        <f t="shared" ref="L17:L49" si="3">IF(K17&lt;&gt;0,+G17-K17,0)</f>
        <v>0</v>
      </c>
      <c r="M17" s="593">
        <f t="shared" ref="M17:M22" si="4">H17</f>
        <v>1690105.6704770608</v>
      </c>
      <c r="N17" s="595">
        <f t="shared" ref="N17:N49" si="5">IF(M17&lt;&gt;0,+H17-M17,0)</f>
        <v>0</v>
      </c>
      <c r="O17" s="596">
        <f t="shared" ref="O17:O49" si="6">+N17-L17</f>
        <v>0</v>
      </c>
      <c r="P17" s="279"/>
      <c r="R17" s="244"/>
      <c r="S17" s="244"/>
      <c r="T17" s="244"/>
      <c r="U17" s="244"/>
    </row>
    <row r="18" spans="2:21" ht="12.5">
      <c r="B18" s="145" t="str">
        <f t="shared" si="0"/>
        <v/>
      </c>
      <c r="C18" s="496">
        <f>IF(D11="","-",+C17+1)</f>
        <v>2012</v>
      </c>
      <c r="D18" s="506">
        <v>12857437.947553433</v>
      </c>
      <c r="E18" s="499">
        <v>203958.10236185769</v>
      </c>
      <c r="F18" s="506">
        <v>12653479.845191576</v>
      </c>
      <c r="G18" s="499">
        <v>1426879.3827639234</v>
      </c>
      <c r="H18" s="500">
        <v>1426879.3827639234</v>
      </c>
      <c r="I18" s="501">
        <v>0</v>
      </c>
      <c r="J18" s="351"/>
      <c r="K18" s="593">
        <f t="shared" si="2"/>
        <v>1426879.3827639234</v>
      </c>
      <c r="L18" s="597">
        <f t="shared" si="3"/>
        <v>0</v>
      </c>
      <c r="M18" s="593">
        <f t="shared" si="4"/>
        <v>1426879.3827639234</v>
      </c>
      <c r="N18" s="595">
        <f t="shared" si="5"/>
        <v>0</v>
      </c>
      <c r="O18" s="597">
        <f t="shared" si="6"/>
        <v>0</v>
      </c>
      <c r="P18" s="279"/>
      <c r="R18" s="244"/>
      <c r="S18" s="244"/>
      <c r="T18" s="244"/>
      <c r="U18" s="244"/>
    </row>
    <row r="19" spans="2:21" ht="12.5">
      <c r="B19" s="145" t="str">
        <f t="shared" si="0"/>
        <v>IU</v>
      </c>
      <c r="C19" s="496">
        <f>IF(D11="","-",+C18+1)</f>
        <v>2013</v>
      </c>
      <c r="D19" s="506">
        <v>11520279.845191576</v>
      </c>
      <c r="E19" s="499">
        <v>203141.16446368746</v>
      </c>
      <c r="F19" s="506">
        <v>11317138.680727888</v>
      </c>
      <c r="G19" s="499">
        <v>1439439.106345837</v>
      </c>
      <c r="H19" s="500">
        <v>1439439.106345837</v>
      </c>
      <c r="I19" s="585">
        <v>0</v>
      </c>
      <c r="J19" s="351"/>
      <c r="K19" s="593">
        <f t="shared" si="2"/>
        <v>1439439.106345837</v>
      </c>
      <c r="L19" s="597">
        <f t="shared" ref="L19:L24" si="7">IF(K19&lt;&gt;0,+G19-K19,0)</f>
        <v>0</v>
      </c>
      <c r="M19" s="593">
        <f t="shared" si="4"/>
        <v>1439439.106345837</v>
      </c>
      <c r="N19" s="595">
        <f>IF(M19&lt;&gt;0,+H19-M19,0)</f>
        <v>0</v>
      </c>
      <c r="O19" s="597">
        <f>+N19-L19</f>
        <v>0</v>
      </c>
      <c r="P19" s="279"/>
      <c r="R19" s="244"/>
      <c r="S19" s="244"/>
      <c r="T19" s="244"/>
      <c r="U19" s="244"/>
    </row>
    <row r="20" spans="2:21" ht="12.5">
      <c r="B20" s="145" t="str">
        <f t="shared" si="0"/>
        <v/>
      </c>
      <c r="C20" s="496">
        <f>IF(D11="","-",+C19+1)</f>
        <v>2014</v>
      </c>
      <c r="D20" s="506">
        <v>11317138.680727888</v>
      </c>
      <c r="E20" s="499">
        <v>203141.16446368746</v>
      </c>
      <c r="F20" s="506">
        <v>11113997.5162642</v>
      </c>
      <c r="G20" s="499">
        <v>1425984.6077299202</v>
      </c>
      <c r="H20" s="500">
        <v>1425984.6077299202</v>
      </c>
      <c r="I20" s="501">
        <v>0</v>
      </c>
      <c r="J20" s="501"/>
      <c r="K20" s="593">
        <f t="shared" si="2"/>
        <v>1425984.6077299202</v>
      </c>
      <c r="L20" s="597">
        <f t="shared" si="7"/>
        <v>0</v>
      </c>
      <c r="M20" s="593">
        <f t="shared" si="4"/>
        <v>1425984.6077299202</v>
      </c>
      <c r="N20" s="595">
        <f>IF(M20&lt;&gt;0,+H20-M20,0)</f>
        <v>0</v>
      </c>
      <c r="O20" s="597">
        <f>+N20-L20</f>
        <v>0</v>
      </c>
      <c r="P20" s="279"/>
      <c r="R20" s="244"/>
      <c r="S20" s="244"/>
      <c r="T20" s="244"/>
      <c r="U20" s="244"/>
    </row>
    <row r="21" spans="2:21" ht="12.5">
      <c r="B21" s="145" t="str">
        <f t="shared" si="0"/>
        <v/>
      </c>
      <c r="C21" s="496">
        <f>IF(D12="","-",+C20+1)</f>
        <v>2015</v>
      </c>
      <c r="D21" s="506">
        <v>11113997.5162642</v>
      </c>
      <c r="E21" s="499">
        <v>203141.16446368746</v>
      </c>
      <c r="F21" s="506">
        <v>10910856.351800513</v>
      </c>
      <c r="G21" s="499">
        <v>1327673.3550101635</v>
      </c>
      <c r="H21" s="500">
        <v>1327673.3550101635</v>
      </c>
      <c r="I21" s="501">
        <v>0</v>
      </c>
      <c r="J21" s="501"/>
      <c r="K21" s="593">
        <f t="shared" si="2"/>
        <v>1327673.3550101635</v>
      </c>
      <c r="L21" s="597">
        <f t="shared" si="7"/>
        <v>0</v>
      </c>
      <c r="M21" s="593">
        <f t="shared" si="4"/>
        <v>1327673.3550101635</v>
      </c>
      <c r="N21" s="595">
        <f>IF(M21&lt;&gt;0,+H21-M21,0)</f>
        <v>0</v>
      </c>
      <c r="O21" s="597">
        <f>+N21-L21</f>
        <v>0</v>
      </c>
      <c r="P21" s="279"/>
      <c r="R21" s="244"/>
      <c r="S21" s="244"/>
      <c r="T21" s="244"/>
      <c r="U21" s="244"/>
    </row>
    <row r="22" spans="2:21" ht="12.5">
      <c r="B22" s="145" t="str">
        <f>IF(D22=F21,"","IU")</f>
        <v>IU</v>
      </c>
      <c r="C22" s="496">
        <f>IF(D11="","-",+C21+1)</f>
        <v>2016</v>
      </c>
      <c r="D22" s="506">
        <v>10206288.351800514</v>
      </c>
      <c r="E22" s="499">
        <v>229368.43576510914</v>
      </c>
      <c r="F22" s="506">
        <v>9976919.9160354044</v>
      </c>
      <c r="G22" s="499">
        <v>1305682.2485042256</v>
      </c>
      <c r="H22" s="500">
        <v>1305682.2485042256</v>
      </c>
      <c r="I22" s="501">
        <f t="shared" si="1"/>
        <v>0</v>
      </c>
      <c r="J22" s="501"/>
      <c r="K22" s="593">
        <f t="shared" si="2"/>
        <v>1305682.2485042256</v>
      </c>
      <c r="L22" s="597">
        <f t="shared" si="7"/>
        <v>0</v>
      </c>
      <c r="M22" s="593">
        <f t="shared" si="4"/>
        <v>1305682.2485042256</v>
      </c>
      <c r="N22" s="505">
        <f t="shared" si="5"/>
        <v>0</v>
      </c>
      <c r="O22" s="505">
        <f t="shared" si="6"/>
        <v>0</v>
      </c>
      <c r="P22" s="279"/>
      <c r="R22" s="244"/>
      <c r="S22" s="244"/>
      <c r="T22" s="244"/>
      <c r="U22" s="244"/>
    </row>
    <row r="23" spans="2:21" ht="12.5">
      <c r="B23" s="145" t="str">
        <f t="shared" si="0"/>
        <v/>
      </c>
      <c r="C23" s="496">
        <f>IF(D11="","-",+C22+1)</f>
        <v>2017</v>
      </c>
      <c r="D23" s="506">
        <v>9976919.9160354044</v>
      </c>
      <c r="E23" s="499">
        <v>217033.49443183315</v>
      </c>
      <c r="F23" s="506">
        <v>9759886.4216035716</v>
      </c>
      <c r="G23" s="499">
        <v>1301965.4660054925</v>
      </c>
      <c r="H23" s="500">
        <v>1301965.4660054925</v>
      </c>
      <c r="I23" s="501">
        <f t="shared" si="1"/>
        <v>0</v>
      </c>
      <c r="J23" s="501"/>
      <c r="K23" s="593">
        <f>G23</f>
        <v>1301965.4660054925</v>
      </c>
      <c r="L23" s="597">
        <f t="shared" si="7"/>
        <v>0</v>
      </c>
      <c r="M23" s="593">
        <f>H23</f>
        <v>1301965.4660054925</v>
      </c>
      <c r="N23" s="505">
        <f>IF(M23&lt;&gt;0,+H23-M23,0)</f>
        <v>0</v>
      </c>
      <c r="O23" s="505">
        <f>+N23-L23</f>
        <v>0</v>
      </c>
      <c r="P23" s="279"/>
      <c r="R23" s="244"/>
      <c r="S23" s="244"/>
      <c r="T23" s="244"/>
      <c r="U23" s="244"/>
    </row>
    <row r="24" spans="2:21" ht="12.5">
      <c r="B24" s="145" t="str">
        <f t="shared" si="0"/>
        <v/>
      </c>
      <c r="C24" s="496">
        <f>IF(D11="","-",+C23+1)</f>
        <v>2018</v>
      </c>
      <c r="D24" s="506">
        <v>9759886.4216035716</v>
      </c>
      <c r="E24" s="499">
        <v>270708.0251158927</v>
      </c>
      <c r="F24" s="506">
        <v>9489178.3964876793</v>
      </c>
      <c r="G24" s="499">
        <v>1401504.2219921714</v>
      </c>
      <c r="H24" s="500">
        <v>1401504.2219921714</v>
      </c>
      <c r="I24" s="501">
        <v>0</v>
      </c>
      <c r="J24" s="501"/>
      <c r="K24" s="593">
        <f>G24</f>
        <v>1401504.2219921714</v>
      </c>
      <c r="L24" s="597">
        <f t="shared" si="7"/>
        <v>0</v>
      </c>
      <c r="M24" s="593">
        <f>H24</f>
        <v>1401504.2219921714</v>
      </c>
      <c r="N24" s="505">
        <f>IF(M24&lt;&gt;0,+H24-M24,0)</f>
        <v>0</v>
      </c>
      <c r="O24" s="505">
        <f>+N24-L24</f>
        <v>0</v>
      </c>
      <c r="P24" s="279"/>
      <c r="R24" s="244"/>
      <c r="S24" s="244"/>
      <c r="T24" s="244"/>
      <c r="U24" s="244"/>
    </row>
    <row r="25" spans="2:21" ht="12.5">
      <c r="B25" s="145" t="str">
        <f t="shared" si="0"/>
        <v/>
      </c>
      <c r="C25" s="496">
        <f>IF(D11="","-",+C24+1)</f>
        <v>2019</v>
      </c>
      <c r="D25" s="506">
        <v>9489178.3964876793</v>
      </c>
      <c r="E25" s="499">
        <v>270708.0251158927</v>
      </c>
      <c r="F25" s="506">
        <v>9218470.371371787</v>
      </c>
      <c r="G25" s="499">
        <v>1369698.4581113998</v>
      </c>
      <c r="H25" s="500">
        <v>1369698.4581113998</v>
      </c>
      <c r="I25" s="501">
        <f t="shared" si="1"/>
        <v>0</v>
      </c>
      <c r="J25" s="501"/>
      <c r="K25" s="593">
        <f>G25</f>
        <v>1369698.4581113998</v>
      </c>
      <c r="L25" s="597">
        <f t="shared" ref="L25" si="8">IF(K25&lt;&gt;0,+G25-K25,0)</f>
        <v>0</v>
      </c>
      <c r="M25" s="593">
        <f>H25</f>
        <v>1369698.4581113998</v>
      </c>
      <c r="N25" s="505">
        <f>IF(M25&lt;&gt;0,+H25-M25,0)</f>
        <v>0</v>
      </c>
      <c r="O25" s="505">
        <f>+N25-L25</f>
        <v>0</v>
      </c>
      <c r="P25" s="279"/>
      <c r="R25" s="244"/>
      <c r="S25" s="244"/>
      <c r="T25" s="244"/>
      <c r="U25" s="244"/>
    </row>
    <row r="26" spans="2:21" ht="12.5">
      <c r="B26" s="145" t="str">
        <f t="shared" si="0"/>
        <v/>
      </c>
      <c r="C26" s="496">
        <f>IF(D11="","-",+C25+1)</f>
        <v>2020</v>
      </c>
      <c r="D26" s="506">
        <v>9218470.371371787</v>
      </c>
      <c r="E26" s="499">
        <v>323219.08619976818</v>
      </c>
      <c r="F26" s="506">
        <v>8895251.2851720192</v>
      </c>
      <c r="G26" s="499">
        <v>1273577.8300042083</v>
      </c>
      <c r="H26" s="500">
        <v>1273577.8300042083</v>
      </c>
      <c r="I26" s="501">
        <f t="shared" si="1"/>
        <v>0</v>
      </c>
      <c r="J26" s="501"/>
      <c r="K26" s="593">
        <f>G26</f>
        <v>1273577.8300042083</v>
      </c>
      <c r="L26" s="597">
        <f t="shared" ref="L26" si="9">IF(K26&lt;&gt;0,+G26-K26,0)</f>
        <v>0</v>
      </c>
      <c r="M26" s="593">
        <f>H26</f>
        <v>1273577.8300042083</v>
      </c>
      <c r="N26" s="505">
        <f t="shared" si="5"/>
        <v>0</v>
      </c>
      <c r="O26" s="505">
        <f t="shared" si="6"/>
        <v>0</v>
      </c>
      <c r="P26" s="279"/>
      <c r="R26" s="244"/>
      <c r="S26" s="244"/>
      <c r="T26" s="244"/>
      <c r="U26" s="244"/>
    </row>
    <row r="27" spans="2:21" ht="12.5">
      <c r="B27" s="145" t="str">
        <f t="shared" si="0"/>
        <v/>
      </c>
      <c r="C27" s="496">
        <f>IF(D11="","-",+C26+1)</f>
        <v>2021</v>
      </c>
      <c r="D27" s="509">
        <f>IF(F26+SUM(E$17:E26)=D$10,F26,D$10-SUM(E$17:E26))</f>
        <v>8895251.2851720192</v>
      </c>
      <c r="E27" s="510">
        <f>IF(+I14&lt;F26,I14,D27)</f>
        <v>324653.8823529412</v>
      </c>
      <c r="F27" s="511">
        <f t="shared" ref="F27:F49" si="10">+D27-E27</f>
        <v>8570597.4028190784</v>
      </c>
      <c r="G27" s="512">
        <f t="shared" ref="G27:G73" si="11">(D27+F27)/2*I$12+E27</f>
        <v>1253986.7913704994</v>
      </c>
      <c r="H27" s="478">
        <f t="shared" ref="H27:H73" si="12">+(D27+F27)/2*I$13+E27</f>
        <v>1253986.7913704994</v>
      </c>
      <c r="I27" s="501">
        <f t="shared" si="1"/>
        <v>0</v>
      </c>
      <c r="J27" s="501"/>
      <c r="K27" s="513"/>
      <c r="L27" s="505">
        <f t="shared" si="3"/>
        <v>0</v>
      </c>
      <c r="M27" s="513"/>
      <c r="N27" s="505">
        <f t="shared" si="5"/>
        <v>0</v>
      </c>
      <c r="O27" s="505">
        <f t="shared" si="6"/>
        <v>0</v>
      </c>
      <c r="P27" s="279"/>
      <c r="R27" s="244"/>
      <c r="S27" s="244"/>
      <c r="T27" s="244"/>
      <c r="U27" s="244"/>
    </row>
    <row r="28" spans="2:21" ht="12.5">
      <c r="B28" s="145" t="str">
        <f t="shared" si="0"/>
        <v/>
      </c>
      <c r="C28" s="496">
        <f>IF(D11="","-",+C27+1)</f>
        <v>2022</v>
      </c>
      <c r="D28" s="509">
        <f>IF(F27+SUM(E$17:E27)=D$10,F27,D$10-SUM(E$17:E27))</f>
        <v>8570597.4028190784</v>
      </c>
      <c r="E28" s="510">
        <f>IF(+I14&lt;F27,I14,D28)</f>
        <v>324653.8823529412</v>
      </c>
      <c r="F28" s="511">
        <f t="shared" si="10"/>
        <v>8245943.5204661377</v>
      </c>
      <c r="G28" s="512">
        <f t="shared" si="11"/>
        <v>1219438.0508769043</v>
      </c>
      <c r="H28" s="478">
        <f t="shared" si="12"/>
        <v>1219438.0508769043</v>
      </c>
      <c r="I28" s="501">
        <f t="shared" si="1"/>
        <v>0</v>
      </c>
      <c r="J28" s="501"/>
      <c r="K28" s="513"/>
      <c r="L28" s="505">
        <f t="shared" si="3"/>
        <v>0</v>
      </c>
      <c r="M28" s="513"/>
      <c r="N28" s="505">
        <f t="shared" si="5"/>
        <v>0</v>
      </c>
      <c r="O28" s="505">
        <f t="shared" si="6"/>
        <v>0</v>
      </c>
      <c r="P28" s="279"/>
      <c r="R28" s="244"/>
      <c r="S28" s="244"/>
      <c r="T28" s="244"/>
      <c r="U28" s="244"/>
    </row>
    <row r="29" spans="2:21" ht="12.5">
      <c r="B29" s="145" t="str">
        <f t="shared" si="0"/>
        <v/>
      </c>
      <c r="C29" s="496">
        <f>IF(D11="","-",+C28+1)</f>
        <v>2023</v>
      </c>
      <c r="D29" s="509">
        <f>IF(F28+SUM(E$17:E28)=D$10,F28,D$10-SUM(E$17:E28))</f>
        <v>8245943.5204661377</v>
      </c>
      <c r="E29" s="510">
        <f>IF(+I14&lt;F28,I14,D29)</f>
        <v>324653.8823529412</v>
      </c>
      <c r="F29" s="511">
        <f t="shared" si="10"/>
        <v>7921289.6381131969</v>
      </c>
      <c r="G29" s="512">
        <f t="shared" si="11"/>
        <v>1184889.3103833091</v>
      </c>
      <c r="H29" s="478">
        <f t="shared" si="12"/>
        <v>1184889.3103833091</v>
      </c>
      <c r="I29" s="501">
        <f t="shared" si="1"/>
        <v>0</v>
      </c>
      <c r="J29" s="501"/>
      <c r="K29" s="513"/>
      <c r="L29" s="505">
        <f t="shared" si="3"/>
        <v>0</v>
      </c>
      <c r="M29" s="513"/>
      <c r="N29" s="505">
        <f t="shared" si="5"/>
        <v>0</v>
      </c>
      <c r="O29" s="505">
        <f t="shared" si="6"/>
        <v>0</v>
      </c>
      <c r="P29" s="279"/>
      <c r="R29" s="244"/>
      <c r="S29" s="244"/>
      <c r="T29" s="244"/>
      <c r="U29" s="244"/>
    </row>
    <row r="30" spans="2:21" ht="12.5">
      <c r="B30" s="145" t="str">
        <f t="shared" si="0"/>
        <v/>
      </c>
      <c r="C30" s="496">
        <f>IF(D11="","-",+C29+1)</f>
        <v>2024</v>
      </c>
      <c r="D30" s="509">
        <f>IF(F29+SUM(E$17:E29)=D$10,F29,D$10-SUM(E$17:E29))</f>
        <v>7921289.6381131969</v>
      </c>
      <c r="E30" s="510">
        <f>IF(+I14&lt;F29,I14,D30)</f>
        <v>324653.8823529412</v>
      </c>
      <c r="F30" s="511">
        <f t="shared" si="10"/>
        <v>7596635.7557602562</v>
      </c>
      <c r="G30" s="512">
        <f t="shared" si="11"/>
        <v>1150340.569889714</v>
      </c>
      <c r="H30" s="478">
        <f t="shared" si="12"/>
        <v>1150340.569889714</v>
      </c>
      <c r="I30" s="501">
        <f t="shared" si="1"/>
        <v>0</v>
      </c>
      <c r="J30" s="501"/>
      <c r="K30" s="513"/>
      <c r="L30" s="505">
        <f t="shared" si="3"/>
        <v>0</v>
      </c>
      <c r="M30" s="513"/>
      <c r="N30" s="505">
        <f t="shared" si="5"/>
        <v>0</v>
      </c>
      <c r="O30" s="505">
        <f t="shared" si="6"/>
        <v>0</v>
      </c>
      <c r="P30" s="279"/>
      <c r="R30" s="244"/>
      <c r="S30" s="244"/>
      <c r="T30" s="244"/>
      <c r="U30" s="244"/>
    </row>
    <row r="31" spans="2:21" ht="12.5">
      <c r="B31" s="145" t="str">
        <f t="shared" si="0"/>
        <v/>
      </c>
      <c r="C31" s="496">
        <f>IF(D11="","-",+C30+1)</f>
        <v>2025</v>
      </c>
      <c r="D31" s="509">
        <f>IF(F30+SUM(E$17:E30)=D$10,F30,D$10-SUM(E$17:E30))</f>
        <v>7596635.7557602562</v>
      </c>
      <c r="E31" s="598">
        <f>IF(+I14&lt;F30,I14,D31)</f>
        <v>324653.8823529412</v>
      </c>
      <c r="F31" s="511">
        <f>+D31-E31</f>
        <v>7271981.8734073155</v>
      </c>
      <c r="G31" s="512">
        <f t="shared" si="11"/>
        <v>1115791.8293961186</v>
      </c>
      <c r="H31" s="478">
        <f t="shared" si="12"/>
        <v>1115791.8293961186</v>
      </c>
      <c r="I31" s="501">
        <f>H31-G31</f>
        <v>0</v>
      </c>
      <c r="J31" s="50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7271981.8734073155</v>
      </c>
      <c r="E32" s="598">
        <f>IF(+I14&lt;F31,I14,D32)</f>
        <v>324653.8823529412</v>
      </c>
      <c r="F32" s="511">
        <f>+D32-E32</f>
        <v>6947327.9910543747</v>
      </c>
      <c r="G32" s="512">
        <f t="shared" si="11"/>
        <v>1081243.0889025233</v>
      </c>
      <c r="H32" s="478">
        <f t="shared" si="12"/>
        <v>1081243.0889025233</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6947327.9910543747</v>
      </c>
      <c r="E33" s="510">
        <f>IF(+I14&lt;F31,I14,D33)</f>
        <v>324653.8823529412</v>
      </c>
      <c r="F33" s="511">
        <f>+D33-E33</f>
        <v>6622674.108701434</v>
      </c>
      <c r="G33" s="512">
        <f t="shared" si="11"/>
        <v>1046694.3484089283</v>
      </c>
      <c r="H33" s="478">
        <f t="shared" si="12"/>
        <v>1046694.3484089283</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2028</v>
      </c>
      <c r="D34" s="515">
        <f>IF(F33+SUM(E$17:E33)=D$10,F33,D$10-SUM(E$17:E33))</f>
        <v>6622674.108701434</v>
      </c>
      <c r="E34" s="516">
        <f>IF(+I14&lt;F33,I14,D34)</f>
        <v>324653.8823529412</v>
      </c>
      <c r="F34" s="517">
        <f t="shared" si="10"/>
        <v>6298020.2263484932</v>
      </c>
      <c r="G34" s="518">
        <f t="shared" si="11"/>
        <v>1012145.607915333</v>
      </c>
      <c r="H34" s="519">
        <f t="shared" si="12"/>
        <v>1012145.607915333</v>
      </c>
      <c r="I34" s="520">
        <f t="shared" si="1"/>
        <v>0</v>
      </c>
      <c r="J34" s="520"/>
      <c r="K34" s="521"/>
      <c r="L34" s="522">
        <f t="shared" si="3"/>
        <v>0</v>
      </c>
      <c r="M34" s="521"/>
      <c r="N34" s="522">
        <f t="shared" si="5"/>
        <v>0</v>
      </c>
      <c r="O34" s="522">
        <f t="shared" si="6"/>
        <v>0</v>
      </c>
      <c r="P34" s="523"/>
      <c r="Q34" s="217"/>
      <c r="R34" s="523"/>
      <c r="S34" s="523"/>
      <c r="T34" s="523"/>
      <c r="U34" s="244"/>
    </row>
    <row r="35" spans="2:21" ht="12.5">
      <c r="B35" s="145" t="str">
        <f t="shared" si="0"/>
        <v/>
      </c>
      <c r="C35" s="496">
        <f>IF(D11="","-",+C34+1)</f>
        <v>2029</v>
      </c>
      <c r="D35" s="509">
        <f>IF(F34+SUM(E$17:E34)=D$10,F34,D$10-SUM(E$17:E34))</f>
        <v>6298020.2263484932</v>
      </c>
      <c r="E35" s="510">
        <f>IF(+I14&lt;F34,I14,D35)</f>
        <v>324653.8823529412</v>
      </c>
      <c r="F35" s="511">
        <f t="shared" si="10"/>
        <v>5973366.3439955525</v>
      </c>
      <c r="G35" s="512">
        <f t="shared" si="11"/>
        <v>977596.86742173776</v>
      </c>
      <c r="H35" s="478">
        <f t="shared" si="12"/>
        <v>977596.86742173776</v>
      </c>
      <c r="I35" s="501">
        <f t="shared" si="1"/>
        <v>0</v>
      </c>
      <c r="J35" s="501"/>
      <c r="K35" s="513"/>
      <c r="L35" s="505">
        <f t="shared" si="3"/>
        <v>0</v>
      </c>
      <c r="M35" s="513"/>
      <c r="N35" s="505">
        <f t="shared" si="5"/>
        <v>0</v>
      </c>
      <c r="O35" s="505">
        <f t="shared" si="6"/>
        <v>0</v>
      </c>
      <c r="P35" s="279"/>
      <c r="R35" s="244"/>
      <c r="S35" s="244"/>
      <c r="T35" s="244"/>
      <c r="U35" s="244"/>
    </row>
    <row r="36" spans="2:21" ht="12.5">
      <c r="B36" s="145" t="str">
        <f t="shared" si="0"/>
        <v/>
      </c>
      <c r="C36" s="496">
        <f>IF(D11="","-",+C35+1)</f>
        <v>2030</v>
      </c>
      <c r="D36" s="509">
        <f>IF(F35+SUM(E$17:E35)=D$10,F35,D$10-SUM(E$17:E35))</f>
        <v>5973366.3439955525</v>
      </c>
      <c r="E36" s="510">
        <f>IF(+I14&lt;F35,I14,D36)</f>
        <v>324653.8823529412</v>
      </c>
      <c r="F36" s="511">
        <f t="shared" si="10"/>
        <v>5648712.4616426118</v>
      </c>
      <c r="G36" s="512">
        <f t="shared" si="11"/>
        <v>943048.1269281425</v>
      </c>
      <c r="H36" s="478">
        <f t="shared" si="12"/>
        <v>943048.1269281425</v>
      </c>
      <c r="I36" s="501">
        <f t="shared" si="1"/>
        <v>0</v>
      </c>
      <c r="J36" s="501"/>
      <c r="K36" s="513"/>
      <c r="L36" s="505">
        <f t="shared" si="3"/>
        <v>0</v>
      </c>
      <c r="M36" s="513"/>
      <c r="N36" s="505">
        <f t="shared" si="5"/>
        <v>0</v>
      </c>
      <c r="O36" s="505">
        <f t="shared" si="6"/>
        <v>0</v>
      </c>
      <c r="P36" s="279"/>
      <c r="R36" s="244"/>
      <c r="S36" s="244"/>
      <c r="T36" s="244"/>
      <c r="U36" s="244"/>
    </row>
    <row r="37" spans="2:21" ht="12.5">
      <c r="B37" s="145" t="str">
        <f t="shared" si="0"/>
        <v/>
      </c>
      <c r="C37" s="496">
        <f>IF(D11="","-",+C36+1)</f>
        <v>2031</v>
      </c>
      <c r="D37" s="509">
        <f>IF(F36+SUM(E$17:E36)=D$10,F36,D$10-SUM(E$17:E36))</f>
        <v>5648712.4616426118</v>
      </c>
      <c r="E37" s="510">
        <f>IF(+I14&lt;F36,I14,D37)</f>
        <v>324653.8823529412</v>
      </c>
      <c r="F37" s="511">
        <f t="shared" si="10"/>
        <v>5324058.579289671</v>
      </c>
      <c r="G37" s="512">
        <f t="shared" si="11"/>
        <v>908499.38643454725</v>
      </c>
      <c r="H37" s="478">
        <f t="shared" si="12"/>
        <v>908499.38643454725</v>
      </c>
      <c r="I37" s="501">
        <f t="shared" si="1"/>
        <v>0</v>
      </c>
      <c r="J37" s="501"/>
      <c r="K37" s="513"/>
      <c r="L37" s="505">
        <f t="shared" si="3"/>
        <v>0</v>
      </c>
      <c r="M37" s="513"/>
      <c r="N37" s="505">
        <f t="shared" si="5"/>
        <v>0</v>
      </c>
      <c r="O37" s="505">
        <f t="shared" si="6"/>
        <v>0</v>
      </c>
      <c r="P37" s="279"/>
      <c r="R37" s="244"/>
      <c r="S37" s="244"/>
      <c r="T37" s="244"/>
      <c r="U37" s="244"/>
    </row>
    <row r="38" spans="2:21" ht="12.5">
      <c r="B38" s="145" t="str">
        <f t="shared" si="0"/>
        <v/>
      </c>
      <c r="C38" s="496">
        <f>IF(D11="","-",+C37+1)</f>
        <v>2032</v>
      </c>
      <c r="D38" s="509">
        <f>IF(F37+SUM(E$17:E37)=D$10,F37,D$10-SUM(E$17:E37))</f>
        <v>5324058.579289671</v>
      </c>
      <c r="E38" s="510">
        <f>IF(+I14&lt;F37,I14,D38)</f>
        <v>324653.8823529412</v>
      </c>
      <c r="F38" s="511">
        <f t="shared" si="10"/>
        <v>4999404.6969367303</v>
      </c>
      <c r="G38" s="512">
        <f t="shared" si="11"/>
        <v>873950.645940952</v>
      </c>
      <c r="H38" s="478">
        <f t="shared" si="12"/>
        <v>873950.645940952</v>
      </c>
      <c r="I38" s="501">
        <f t="shared" si="1"/>
        <v>0</v>
      </c>
      <c r="J38" s="501"/>
      <c r="K38" s="513"/>
      <c r="L38" s="505">
        <f t="shared" si="3"/>
        <v>0</v>
      </c>
      <c r="M38" s="513"/>
      <c r="N38" s="505">
        <f t="shared" si="5"/>
        <v>0</v>
      </c>
      <c r="O38" s="505">
        <f t="shared" si="6"/>
        <v>0</v>
      </c>
      <c r="P38" s="279"/>
      <c r="R38" s="244"/>
      <c r="S38" s="244"/>
      <c r="T38" s="244"/>
      <c r="U38" s="244"/>
    </row>
    <row r="39" spans="2:21" ht="12.5">
      <c r="B39" s="145" t="str">
        <f t="shared" si="0"/>
        <v/>
      </c>
      <c r="C39" s="496">
        <f>IF(D11="","-",+C38+1)</f>
        <v>2033</v>
      </c>
      <c r="D39" s="509">
        <f>IF(F38+SUM(E$17:E38)=D$10,F38,D$10-SUM(E$17:E38))</f>
        <v>4999404.6969367303</v>
      </c>
      <c r="E39" s="510">
        <f>IF(+I14&lt;F38,I14,D39)</f>
        <v>324653.8823529412</v>
      </c>
      <c r="F39" s="511">
        <f t="shared" si="10"/>
        <v>4674750.8145837896</v>
      </c>
      <c r="G39" s="512">
        <f t="shared" si="11"/>
        <v>839401.90544735687</v>
      </c>
      <c r="H39" s="478">
        <f t="shared" si="12"/>
        <v>839401.90544735687</v>
      </c>
      <c r="I39" s="501">
        <f t="shared" si="1"/>
        <v>0</v>
      </c>
      <c r="J39" s="501"/>
      <c r="K39" s="513"/>
      <c r="L39" s="505">
        <f t="shared" si="3"/>
        <v>0</v>
      </c>
      <c r="M39" s="513"/>
      <c r="N39" s="505">
        <f t="shared" si="5"/>
        <v>0</v>
      </c>
      <c r="O39" s="505">
        <f t="shared" si="6"/>
        <v>0</v>
      </c>
      <c r="P39" s="279"/>
      <c r="R39" s="244"/>
      <c r="S39" s="244"/>
      <c r="T39" s="244"/>
      <c r="U39" s="244"/>
    </row>
    <row r="40" spans="2:21" ht="12.5">
      <c r="B40" s="145" t="str">
        <f t="shared" si="0"/>
        <v/>
      </c>
      <c r="C40" s="496">
        <f>IF(D11="","-",+C39+1)</f>
        <v>2034</v>
      </c>
      <c r="D40" s="509">
        <f>IF(F39+SUM(E$17:E39)=D$10,F39,D$10-SUM(E$17:E39))</f>
        <v>4674750.8145837896</v>
      </c>
      <c r="E40" s="510">
        <f>IF(+I14&lt;F39,I14,D40)</f>
        <v>324653.8823529412</v>
      </c>
      <c r="F40" s="511">
        <f t="shared" si="10"/>
        <v>4350096.9322308488</v>
      </c>
      <c r="G40" s="512">
        <f t="shared" si="11"/>
        <v>804853.16495376162</v>
      </c>
      <c r="H40" s="478">
        <f t="shared" si="12"/>
        <v>804853.16495376162</v>
      </c>
      <c r="I40" s="501">
        <f t="shared" si="1"/>
        <v>0</v>
      </c>
      <c r="J40" s="501"/>
      <c r="K40" s="513"/>
      <c r="L40" s="505">
        <f t="shared" si="3"/>
        <v>0</v>
      </c>
      <c r="M40" s="513"/>
      <c r="N40" s="505">
        <f t="shared" si="5"/>
        <v>0</v>
      </c>
      <c r="O40" s="505">
        <f t="shared" si="6"/>
        <v>0</v>
      </c>
      <c r="P40" s="279"/>
      <c r="R40" s="244"/>
      <c r="S40" s="244"/>
      <c r="T40" s="244"/>
      <c r="U40" s="244"/>
    </row>
    <row r="41" spans="2:21" ht="12.5">
      <c r="B41" s="145" t="str">
        <f t="shared" si="0"/>
        <v/>
      </c>
      <c r="C41" s="496">
        <f>IF(D12="","-",+C40+1)</f>
        <v>2035</v>
      </c>
      <c r="D41" s="509">
        <f>IF(F40+SUM(E$17:E40)=D$10,F40,D$10-SUM(E$17:E40))</f>
        <v>4350096.9322308488</v>
      </c>
      <c r="E41" s="510">
        <f>IF(+I14&lt;F40,I14,D41)</f>
        <v>324653.8823529412</v>
      </c>
      <c r="F41" s="511">
        <f t="shared" si="10"/>
        <v>4025443.0498779076</v>
      </c>
      <c r="G41" s="512">
        <f t="shared" si="11"/>
        <v>770304.42446016637</v>
      </c>
      <c r="H41" s="478">
        <f t="shared" si="12"/>
        <v>770304.42446016637</v>
      </c>
      <c r="I41" s="501">
        <f t="shared" si="1"/>
        <v>0</v>
      </c>
      <c r="J41" s="501"/>
      <c r="K41" s="513"/>
      <c r="L41" s="505">
        <f t="shared" si="3"/>
        <v>0</v>
      </c>
      <c r="M41" s="513"/>
      <c r="N41" s="505">
        <f t="shared" si="5"/>
        <v>0</v>
      </c>
      <c r="O41" s="505">
        <f t="shared" si="6"/>
        <v>0</v>
      </c>
      <c r="P41" s="279"/>
      <c r="R41" s="244"/>
      <c r="S41" s="244"/>
      <c r="T41" s="244"/>
      <c r="U41" s="244"/>
    </row>
    <row r="42" spans="2:21" ht="12.5">
      <c r="B42" s="145" t="str">
        <f t="shared" si="0"/>
        <v/>
      </c>
      <c r="C42" s="496">
        <f>IF(D13="","-",+C41+1)</f>
        <v>2036</v>
      </c>
      <c r="D42" s="509">
        <f>IF(F41+SUM(E$17:E41)=D$10,F41,D$10-SUM(E$17:E41))</f>
        <v>4025443.0498779076</v>
      </c>
      <c r="E42" s="510">
        <f>IF(+I14&lt;F41,I14,D42)</f>
        <v>324653.8823529412</v>
      </c>
      <c r="F42" s="511">
        <f t="shared" si="10"/>
        <v>3700789.1675249664</v>
      </c>
      <c r="G42" s="512">
        <f t="shared" si="11"/>
        <v>735755.683966571</v>
      </c>
      <c r="H42" s="478">
        <f t="shared" si="12"/>
        <v>735755.683966571</v>
      </c>
      <c r="I42" s="501">
        <f t="shared" si="1"/>
        <v>0</v>
      </c>
      <c r="J42" s="501"/>
      <c r="K42" s="513"/>
      <c r="L42" s="505">
        <f t="shared" si="3"/>
        <v>0</v>
      </c>
      <c r="M42" s="513"/>
      <c r="N42" s="505">
        <f t="shared" si="5"/>
        <v>0</v>
      </c>
      <c r="O42" s="505">
        <f t="shared" si="6"/>
        <v>0</v>
      </c>
      <c r="P42" s="279"/>
      <c r="R42" s="244"/>
      <c r="S42" s="244"/>
      <c r="T42" s="244"/>
      <c r="U42" s="244"/>
    </row>
    <row r="43" spans="2:21" ht="12.5">
      <c r="B43" s="145" t="str">
        <f t="shared" si="0"/>
        <v/>
      </c>
      <c r="C43" s="496">
        <f>IF(D14="","-",+C42+1)</f>
        <v>2037</v>
      </c>
      <c r="D43" s="509">
        <f>IF(F42+SUM(E$17:E42)=D$10,F42,D$10-SUM(E$17:E42))</f>
        <v>3700789.1675249664</v>
      </c>
      <c r="E43" s="510">
        <f>IF(+I14&lt;F42,I14,D43)</f>
        <v>324653.8823529412</v>
      </c>
      <c r="F43" s="511">
        <f t="shared" si="10"/>
        <v>3376135.2851720252</v>
      </c>
      <c r="G43" s="512">
        <f t="shared" si="11"/>
        <v>701206.94347297587</v>
      </c>
      <c r="H43" s="478">
        <f t="shared" si="12"/>
        <v>701206.94347297587</v>
      </c>
      <c r="I43" s="501">
        <f t="shared" si="1"/>
        <v>0</v>
      </c>
      <c r="J43" s="501"/>
      <c r="K43" s="513"/>
      <c r="L43" s="505">
        <f t="shared" si="3"/>
        <v>0</v>
      </c>
      <c r="M43" s="513"/>
      <c r="N43" s="505">
        <f t="shared" si="5"/>
        <v>0</v>
      </c>
      <c r="O43" s="505">
        <f t="shared" si="6"/>
        <v>0</v>
      </c>
      <c r="P43" s="279"/>
      <c r="R43" s="244"/>
      <c r="S43" s="244"/>
      <c r="T43" s="244"/>
      <c r="U43" s="244"/>
    </row>
    <row r="44" spans="2:21" ht="12.5">
      <c r="B44" s="145" t="str">
        <f t="shared" si="0"/>
        <v/>
      </c>
      <c r="C44" s="496">
        <f>IF(D11="","-",+C43+1)</f>
        <v>2038</v>
      </c>
      <c r="D44" s="509">
        <f>IF(F43+SUM(E$17:E43)=D$10,F43,D$10-SUM(E$17:E43))</f>
        <v>3376135.2851720252</v>
      </c>
      <c r="E44" s="510">
        <f>IF(+I14&lt;F43,I14,D44)</f>
        <v>324653.8823529412</v>
      </c>
      <c r="F44" s="511">
        <f t="shared" si="10"/>
        <v>3051481.402819084</v>
      </c>
      <c r="G44" s="512">
        <f t="shared" si="11"/>
        <v>666658.2029793805</v>
      </c>
      <c r="H44" s="478">
        <f t="shared" si="12"/>
        <v>666658.2029793805</v>
      </c>
      <c r="I44" s="501">
        <f t="shared" si="1"/>
        <v>0</v>
      </c>
      <c r="J44" s="501"/>
      <c r="K44" s="513"/>
      <c r="L44" s="505">
        <f t="shared" si="3"/>
        <v>0</v>
      </c>
      <c r="M44" s="513"/>
      <c r="N44" s="505">
        <f t="shared" si="5"/>
        <v>0</v>
      </c>
      <c r="O44" s="505">
        <f t="shared" si="6"/>
        <v>0</v>
      </c>
      <c r="P44" s="279"/>
      <c r="R44" s="244"/>
      <c r="S44" s="244"/>
      <c r="T44" s="244"/>
      <c r="U44" s="244"/>
    </row>
    <row r="45" spans="2:21" ht="12.5">
      <c r="B45" s="145" t="str">
        <f t="shared" si="0"/>
        <v/>
      </c>
      <c r="C45" s="496">
        <f>IF(D11="","-",+C44+1)</f>
        <v>2039</v>
      </c>
      <c r="D45" s="509">
        <f>IF(F44+SUM(E$17:E44)=D$10,F44,D$10-SUM(E$17:E44))</f>
        <v>3051481.402819084</v>
      </c>
      <c r="E45" s="510">
        <f>IF(+I14&lt;F44,I14,D45)</f>
        <v>324653.8823529412</v>
      </c>
      <c r="F45" s="511">
        <f t="shared" si="10"/>
        <v>2726827.5204661428</v>
      </c>
      <c r="G45" s="512">
        <f t="shared" si="11"/>
        <v>632109.46248578525</v>
      </c>
      <c r="H45" s="478">
        <f t="shared" si="12"/>
        <v>632109.46248578525</v>
      </c>
      <c r="I45" s="501">
        <f t="shared" si="1"/>
        <v>0</v>
      </c>
      <c r="J45" s="501"/>
      <c r="K45" s="513"/>
      <c r="L45" s="505">
        <f t="shared" si="3"/>
        <v>0</v>
      </c>
      <c r="M45" s="513"/>
      <c r="N45" s="505">
        <f t="shared" si="5"/>
        <v>0</v>
      </c>
      <c r="O45" s="505">
        <f t="shared" si="6"/>
        <v>0</v>
      </c>
      <c r="P45" s="279"/>
      <c r="R45" s="244"/>
      <c r="S45" s="244"/>
      <c r="T45" s="244"/>
      <c r="U45" s="244"/>
    </row>
    <row r="46" spans="2:21" ht="12.5">
      <c r="B46" s="145" t="str">
        <f t="shared" si="0"/>
        <v/>
      </c>
      <c r="C46" s="496">
        <f>IF(D11="","-",+C45+1)</f>
        <v>2040</v>
      </c>
      <c r="D46" s="509">
        <f>IF(F45+SUM(E$17:E45)=D$10,F45,D$10-SUM(E$17:E45))</f>
        <v>2726827.5204661428</v>
      </c>
      <c r="E46" s="510">
        <f>IF(+I14&lt;F45,I14,D46)</f>
        <v>324653.8823529412</v>
      </c>
      <c r="F46" s="511">
        <f t="shared" si="10"/>
        <v>2402173.6381132016</v>
      </c>
      <c r="G46" s="512">
        <f t="shared" si="11"/>
        <v>597560.72199219</v>
      </c>
      <c r="H46" s="478">
        <f t="shared" si="12"/>
        <v>597560.72199219</v>
      </c>
      <c r="I46" s="501">
        <f t="shared" si="1"/>
        <v>0</v>
      </c>
      <c r="J46" s="501"/>
      <c r="K46" s="513"/>
      <c r="L46" s="505">
        <f t="shared" si="3"/>
        <v>0</v>
      </c>
      <c r="M46" s="513"/>
      <c r="N46" s="505">
        <f t="shared" si="5"/>
        <v>0</v>
      </c>
      <c r="O46" s="505">
        <f t="shared" si="6"/>
        <v>0</v>
      </c>
      <c r="P46" s="279"/>
      <c r="R46" s="244"/>
      <c r="S46" s="244"/>
      <c r="T46" s="244"/>
      <c r="U46" s="244"/>
    </row>
    <row r="47" spans="2:21" ht="12.5">
      <c r="B47" s="145" t="str">
        <f t="shared" si="0"/>
        <v/>
      </c>
      <c r="C47" s="496">
        <f>IF(D11="","-",+C46+1)</f>
        <v>2041</v>
      </c>
      <c r="D47" s="509">
        <f>IF(F46+SUM(E$17:E46)=D$10,F46,D$10-SUM(E$17:E46))</f>
        <v>2402173.6381132016</v>
      </c>
      <c r="E47" s="510">
        <f>IF(+I14&lt;F46,I14,D47)</f>
        <v>324653.8823529412</v>
      </c>
      <c r="F47" s="511">
        <f t="shared" si="10"/>
        <v>2077519.7557602604</v>
      </c>
      <c r="G47" s="512">
        <f t="shared" si="11"/>
        <v>563011.98149859463</v>
      </c>
      <c r="H47" s="478">
        <f t="shared" si="12"/>
        <v>563011.98149859463</v>
      </c>
      <c r="I47" s="501">
        <f t="shared" si="1"/>
        <v>0</v>
      </c>
      <c r="J47" s="501"/>
      <c r="K47" s="513"/>
      <c r="L47" s="505">
        <f t="shared" si="3"/>
        <v>0</v>
      </c>
      <c r="M47" s="513"/>
      <c r="N47" s="505">
        <f t="shared" si="5"/>
        <v>0</v>
      </c>
      <c r="O47" s="505">
        <f t="shared" si="6"/>
        <v>0</v>
      </c>
      <c r="P47" s="279"/>
      <c r="R47" s="244"/>
      <c r="S47" s="244"/>
      <c r="T47" s="244"/>
      <c r="U47" s="244"/>
    </row>
    <row r="48" spans="2:21" ht="12.5">
      <c r="B48" s="145" t="str">
        <f t="shared" si="0"/>
        <v/>
      </c>
      <c r="C48" s="496">
        <f>IF(D11="","-",+C47+1)</f>
        <v>2042</v>
      </c>
      <c r="D48" s="509">
        <f>IF(F47+SUM(E$17:E47)=D$10,F47,D$10-SUM(E$17:E47))</f>
        <v>2077519.7557602604</v>
      </c>
      <c r="E48" s="510">
        <f>IF(+I14&lt;F47,I14,D48)</f>
        <v>324653.8823529412</v>
      </c>
      <c r="F48" s="511">
        <f t="shared" si="10"/>
        <v>1752865.8734073192</v>
      </c>
      <c r="G48" s="512">
        <f t="shared" si="11"/>
        <v>528463.24100499938</v>
      </c>
      <c r="H48" s="478">
        <f t="shared" si="12"/>
        <v>528463.24100499938</v>
      </c>
      <c r="I48" s="501">
        <f t="shared" si="1"/>
        <v>0</v>
      </c>
      <c r="J48" s="501"/>
      <c r="K48" s="513"/>
      <c r="L48" s="505">
        <f t="shared" si="3"/>
        <v>0</v>
      </c>
      <c r="M48" s="513"/>
      <c r="N48" s="505">
        <f t="shared" si="5"/>
        <v>0</v>
      </c>
      <c r="O48" s="505">
        <f t="shared" si="6"/>
        <v>0</v>
      </c>
      <c r="P48" s="279"/>
      <c r="R48" s="244"/>
      <c r="S48" s="244"/>
      <c r="T48" s="244"/>
      <c r="U48" s="244"/>
    </row>
    <row r="49" spans="2:21" ht="12.5">
      <c r="B49" s="145" t="str">
        <f t="shared" si="0"/>
        <v/>
      </c>
      <c r="C49" s="496">
        <f>IF(D11="","-",+C48+1)</f>
        <v>2043</v>
      </c>
      <c r="D49" s="509">
        <f>IF(F48+SUM(E$17:E48)=D$10,F48,D$10-SUM(E$17:E48))</f>
        <v>1752865.8734073192</v>
      </c>
      <c r="E49" s="510">
        <f>IF(+I14&lt;F48,I14,D49)</f>
        <v>324653.8823529412</v>
      </c>
      <c r="F49" s="511">
        <f t="shared" si="10"/>
        <v>1428211.991054378</v>
      </c>
      <c r="G49" s="512">
        <f t="shared" si="11"/>
        <v>493914.50051140413</v>
      </c>
      <c r="H49" s="478">
        <f t="shared" si="12"/>
        <v>493914.50051140413</v>
      </c>
      <c r="I49" s="501">
        <f t="shared" si="1"/>
        <v>0</v>
      </c>
      <c r="J49" s="501"/>
      <c r="K49" s="513"/>
      <c r="L49" s="505">
        <f t="shared" si="3"/>
        <v>0</v>
      </c>
      <c r="M49" s="513"/>
      <c r="N49" s="505">
        <f t="shared" si="5"/>
        <v>0</v>
      </c>
      <c r="O49" s="505">
        <f t="shared" si="6"/>
        <v>0</v>
      </c>
      <c r="P49" s="279"/>
      <c r="R49" s="244"/>
      <c r="S49" s="244"/>
      <c r="T49" s="244"/>
      <c r="U49" s="244"/>
    </row>
    <row r="50" spans="2:21" ht="12.5">
      <c r="B50" s="145" t="str">
        <f t="shared" ref="B50:B73" si="13">IF(D50=F49,"","IU")</f>
        <v/>
      </c>
      <c r="C50" s="496">
        <f>IF(D11="","-",+C49+1)</f>
        <v>2044</v>
      </c>
      <c r="D50" s="509">
        <f>IF(F49+SUM(E$17:E49)=D$10,F49,D$10-SUM(E$17:E49))</f>
        <v>1428211.991054378</v>
      </c>
      <c r="E50" s="510">
        <f>IF(+I14&lt;F49,I14,D50)</f>
        <v>324653.8823529412</v>
      </c>
      <c r="F50" s="511">
        <f t="shared" ref="F50:F73" si="14">+D50-E50</f>
        <v>1103558.1087014368</v>
      </c>
      <c r="G50" s="512">
        <f t="shared" si="11"/>
        <v>459365.76001780882</v>
      </c>
      <c r="H50" s="478">
        <f t="shared" si="12"/>
        <v>459365.76001780882</v>
      </c>
      <c r="I50" s="501">
        <f t="shared" ref="I50:I73" si="15">H50-G50</f>
        <v>0</v>
      </c>
      <c r="J50" s="501"/>
      <c r="K50" s="513"/>
      <c r="L50" s="505">
        <f t="shared" ref="L50:L73" si="16">IF(K50&lt;&gt;0,+G50-K50,0)</f>
        <v>0</v>
      </c>
      <c r="M50" s="513"/>
      <c r="N50" s="505">
        <f t="shared" ref="N50:N73" si="17">IF(M50&lt;&gt;0,+H50-M50,0)</f>
        <v>0</v>
      </c>
      <c r="O50" s="505">
        <f t="shared" ref="O50:O73" si="18">+N50-L50</f>
        <v>0</v>
      </c>
      <c r="P50" s="279"/>
      <c r="R50" s="244"/>
      <c r="S50" s="244"/>
      <c r="T50" s="244"/>
      <c r="U50" s="244"/>
    </row>
    <row r="51" spans="2:21" ht="12.5">
      <c r="B51" s="145" t="str">
        <f t="shared" si="13"/>
        <v/>
      </c>
      <c r="C51" s="496">
        <f>IF(D11="","-",+C50+1)</f>
        <v>2045</v>
      </c>
      <c r="D51" s="509">
        <f>IF(F50+SUM(E$17:E50)=D$10,F50,D$10-SUM(E$17:E50))</f>
        <v>1103558.1087014368</v>
      </c>
      <c r="E51" s="510">
        <f>IF(+I14&lt;F50,I14,D51)</f>
        <v>324653.8823529412</v>
      </c>
      <c r="F51" s="511">
        <f t="shared" si="14"/>
        <v>778904.22634849558</v>
      </c>
      <c r="G51" s="512">
        <f t="shared" si="11"/>
        <v>424817.01952421351</v>
      </c>
      <c r="H51" s="478">
        <f t="shared" si="12"/>
        <v>424817.01952421351</v>
      </c>
      <c r="I51" s="501">
        <f t="shared" si="15"/>
        <v>0</v>
      </c>
      <c r="J51" s="501"/>
      <c r="K51" s="513"/>
      <c r="L51" s="505">
        <f t="shared" si="16"/>
        <v>0</v>
      </c>
      <c r="M51" s="513"/>
      <c r="N51" s="505">
        <f t="shared" si="17"/>
        <v>0</v>
      </c>
      <c r="O51" s="505">
        <f t="shared" si="18"/>
        <v>0</v>
      </c>
      <c r="P51" s="279"/>
      <c r="R51" s="244"/>
      <c r="S51" s="244"/>
      <c r="T51" s="244"/>
      <c r="U51" s="244"/>
    </row>
    <row r="52" spans="2:21" ht="12.5">
      <c r="B52" s="145" t="str">
        <f t="shared" si="13"/>
        <v/>
      </c>
      <c r="C52" s="496">
        <f>IF(D11="","-",+C51+1)</f>
        <v>2046</v>
      </c>
      <c r="D52" s="509">
        <f>IF(F51+SUM(E$17:E51)=D$10,F51,D$10-SUM(E$17:E51))</f>
        <v>778904.22634849558</v>
      </c>
      <c r="E52" s="510">
        <f>IF(+I14&lt;F51,I14,D52)</f>
        <v>324653.8823529412</v>
      </c>
      <c r="F52" s="511">
        <f t="shared" si="14"/>
        <v>454250.34399555437</v>
      </c>
      <c r="G52" s="512">
        <f t="shared" si="11"/>
        <v>390268.27903061826</v>
      </c>
      <c r="H52" s="478">
        <f t="shared" si="12"/>
        <v>390268.27903061826</v>
      </c>
      <c r="I52" s="501">
        <f t="shared" si="15"/>
        <v>0</v>
      </c>
      <c r="J52" s="501"/>
      <c r="K52" s="513"/>
      <c r="L52" s="505">
        <f t="shared" si="16"/>
        <v>0</v>
      </c>
      <c r="M52" s="513"/>
      <c r="N52" s="505">
        <f t="shared" si="17"/>
        <v>0</v>
      </c>
      <c r="O52" s="505">
        <f t="shared" si="18"/>
        <v>0</v>
      </c>
      <c r="P52" s="279"/>
      <c r="R52" s="244"/>
      <c r="S52" s="244"/>
      <c r="T52" s="244"/>
      <c r="U52" s="244"/>
    </row>
    <row r="53" spans="2:21" ht="12.5">
      <c r="B53" s="145" t="str">
        <f t="shared" si="13"/>
        <v/>
      </c>
      <c r="C53" s="496">
        <f>IF(D11="","-",+C52+1)</f>
        <v>2047</v>
      </c>
      <c r="D53" s="509">
        <f>IF(F52+SUM(E$17:E52)=D$10,F52,D$10-SUM(E$17:E52))</f>
        <v>454250.34399555437</v>
      </c>
      <c r="E53" s="510">
        <f>IF(+I14&lt;F52,I14,D53)</f>
        <v>324653.8823529412</v>
      </c>
      <c r="F53" s="511">
        <f t="shared" si="14"/>
        <v>129596.46164261317</v>
      </c>
      <c r="G53" s="512">
        <f t="shared" si="11"/>
        <v>355719.53853702301</v>
      </c>
      <c r="H53" s="478">
        <f t="shared" si="12"/>
        <v>355719.53853702301</v>
      </c>
      <c r="I53" s="501">
        <f t="shared" si="15"/>
        <v>0</v>
      </c>
      <c r="J53" s="501"/>
      <c r="K53" s="513"/>
      <c r="L53" s="505">
        <f t="shared" si="16"/>
        <v>0</v>
      </c>
      <c r="M53" s="513"/>
      <c r="N53" s="505">
        <f t="shared" si="17"/>
        <v>0</v>
      </c>
      <c r="O53" s="505">
        <f t="shared" si="18"/>
        <v>0</v>
      </c>
      <c r="P53" s="279"/>
      <c r="R53" s="244"/>
      <c r="S53" s="244"/>
      <c r="T53" s="244"/>
      <c r="U53" s="244"/>
    </row>
    <row r="54" spans="2:21" ht="12.5">
      <c r="B54" s="145" t="str">
        <f t="shared" si="13"/>
        <v/>
      </c>
      <c r="C54" s="496">
        <f>IF(D11="","-",+C53+1)</f>
        <v>2048</v>
      </c>
      <c r="D54" s="509">
        <f>IF(F53+SUM(E$17:E53)=D$10,F53,D$10-SUM(E$17:E53))</f>
        <v>129596.46164261317</v>
      </c>
      <c r="E54" s="510">
        <f>IF(+I14&lt;F53,I14,D54)</f>
        <v>129596.46164261317</v>
      </c>
      <c r="F54" s="511">
        <f t="shared" si="14"/>
        <v>0</v>
      </c>
      <c r="G54" s="512">
        <f t="shared" si="11"/>
        <v>136492.10461125523</v>
      </c>
      <c r="H54" s="478">
        <f t="shared" si="12"/>
        <v>136492.10461125523</v>
      </c>
      <c r="I54" s="501">
        <f t="shared" si="15"/>
        <v>0</v>
      </c>
      <c r="J54" s="501"/>
      <c r="K54" s="513"/>
      <c r="L54" s="505">
        <f t="shared" si="16"/>
        <v>0</v>
      </c>
      <c r="M54" s="513"/>
      <c r="N54" s="505">
        <f t="shared" si="17"/>
        <v>0</v>
      </c>
      <c r="O54" s="505">
        <f t="shared" si="18"/>
        <v>0</v>
      </c>
      <c r="P54" s="279"/>
      <c r="R54" s="244"/>
      <c r="S54" s="244"/>
      <c r="T54" s="244"/>
      <c r="U54" s="244"/>
    </row>
    <row r="55" spans="2:21" ht="12.5">
      <c r="B55" s="145" t="str">
        <f t="shared" si="13"/>
        <v/>
      </c>
      <c r="C55" s="496">
        <f>IF(D11="","-",+C54+1)</f>
        <v>2049</v>
      </c>
      <c r="D55" s="509">
        <f>IF(F54+SUM(E$17:E54)=D$10,F54,D$10-SUM(E$17:E54))</f>
        <v>0</v>
      </c>
      <c r="E55" s="510">
        <f>IF(+I14&lt;F54,I14,D55)</f>
        <v>0</v>
      </c>
      <c r="F55" s="511">
        <f t="shared" si="14"/>
        <v>0</v>
      </c>
      <c r="G55" s="512">
        <f t="shared" si="11"/>
        <v>0</v>
      </c>
      <c r="H55" s="478">
        <f t="shared" si="12"/>
        <v>0</v>
      </c>
      <c r="I55" s="501">
        <f t="shared" si="15"/>
        <v>0</v>
      </c>
      <c r="J55" s="501"/>
      <c r="K55" s="513"/>
      <c r="L55" s="505">
        <f t="shared" si="16"/>
        <v>0</v>
      </c>
      <c r="M55" s="513"/>
      <c r="N55" s="505">
        <f t="shared" si="17"/>
        <v>0</v>
      </c>
      <c r="O55" s="505">
        <f t="shared" si="18"/>
        <v>0</v>
      </c>
      <c r="P55" s="279"/>
      <c r="R55" s="244"/>
      <c r="S55" s="244"/>
      <c r="T55" s="244"/>
      <c r="U55" s="244"/>
    </row>
    <row r="56" spans="2:21" ht="12.5">
      <c r="B56" s="145" t="str">
        <f t="shared" si="13"/>
        <v/>
      </c>
      <c r="C56" s="496">
        <f>IF(D11="","-",+C55+1)</f>
        <v>2050</v>
      </c>
      <c r="D56" s="509">
        <f>IF(F55+SUM(E$17:E55)=D$10,F55,D$10-SUM(E$17:E55))</f>
        <v>0</v>
      </c>
      <c r="E56" s="510">
        <f>IF(+I14&lt;F55,I14,D56)</f>
        <v>0</v>
      </c>
      <c r="F56" s="511">
        <f t="shared" si="14"/>
        <v>0</v>
      </c>
      <c r="G56" s="512">
        <f t="shared" si="11"/>
        <v>0</v>
      </c>
      <c r="H56" s="478">
        <f t="shared" si="12"/>
        <v>0</v>
      </c>
      <c r="I56" s="501">
        <f t="shared" si="15"/>
        <v>0</v>
      </c>
      <c r="J56" s="501"/>
      <c r="K56" s="513"/>
      <c r="L56" s="505">
        <f t="shared" si="16"/>
        <v>0</v>
      </c>
      <c r="M56" s="513"/>
      <c r="N56" s="505">
        <f t="shared" si="17"/>
        <v>0</v>
      </c>
      <c r="O56" s="505">
        <f t="shared" si="18"/>
        <v>0</v>
      </c>
      <c r="P56" s="279"/>
      <c r="R56" s="244"/>
      <c r="S56" s="244"/>
      <c r="T56" s="244"/>
      <c r="U56" s="244"/>
    </row>
    <row r="57" spans="2:21" ht="12.5">
      <c r="B57" s="145" t="str">
        <f t="shared" si="13"/>
        <v/>
      </c>
      <c r="C57" s="496">
        <f>IF(D11="","-",+C56+1)</f>
        <v>2051</v>
      </c>
      <c r="D57" s="509">
        <f>IF(F56+SUM(E$17:E56)=D$10,F56,D$10-SUM(E$17:E56))</f>
        <v>0</v>
      </c>
      <c r="E57" s="510">
        <f>IF(+I14&lt;F56,I14,D57)</f>
        <v>0</v>
      </c>
      <c r="F57" s="511">
        <f t="shared" si="14"/>
        <v>0</v>
      </c>
      <c r="G57" s="512">
        <f t="shared" si="11"/>
        <v>0</v>
      </c>
      <c r="H57" s="478">
        <f t="shared" si="12"/>
        <v>0</v>
      </c>
      <c r="I57" s="501">
        <f t="shared" si="15"/>
        <v>0</v>
      </c>
      <c r="J57" s="501"/>
      <c r="K57" s="513"/>
      <c r="L57" s="505">
        <f t="shared" si="16"/>
        <v>0</v>
      </c>
      <c r="M57" s="513"/>
      <c r="N57" s="505">
        <f t="shared" si="17"/>
        <v>0</v>
      </c>
      <c r="O57" s="505">
        <f t="shared" si="18"/>
        <v>0</v>
      </c>
      <c r="P57" s="279"/>
      <c r="R57" s="244"/>
      <c r="S57" s="244"/>
      <c r="T57" s="244"/>
      <c r="U57" s="244"/>
    </row>
    <row r="58" spans="2:21" ht="12.5">
      <c r="B58" s="145" t="str">
        <f t="shared" si="13"/>
        <v/>
      </c>
      <c r="C58" s="496">
        <f>IF(D11="","-",+C57+1)</f>
        <v>2052</v>
      </c>
      <c r="D58" s="509">
        <f>IF(F57+SUM(E$17:E57)=D$10,F57,D$10-SUM(E$17:E57))</f>
        <v>0</v>
      </c>
      <c r="E58" s="510">
        <f>IF(+I14&lt;F57,I14,D58)</f>
        <v>0</v>
      </c>
      <c r="F58" s="511">
        <f t="shared" si="14"/>
        <v>0</v>
      </c>
      <c r="G58" s="512">
        <f t="shared" si="11"/>
        <v>0</v>
      </c>
      <c r="H58" s="478">
        <f t="shared" si="12"/>
        <v>0</v>
      </c>
      <c r="I58" s="501">
        <f t="shared" si="15"/>
        <v>0</v>
      </c>
      <c r="J58" s="501"/>
      <c r="K58" s="513"/>
      <c r="L58" s="505">
        <f t="shared" si="16"/>
        <v>0</v>
      </c>
      <c r="M58" s="513"/>
      <c r="N58" s="505">
        <f t="shared" si="17"/>
        <v>0</v>
      </c>
      <c r="O58" s="505">
        <f t="shared" si="18"/>
        <v>0</v>
      </c>
      <c r="P58" s="279"/>
      <c r="R58" s="244"/>
      <c r="S58" s="244"/>
      <c r="T58" s="244"/>
      <c r="U58" s="244"/>
    </row>
    <row r="59" spans="2:21" ht="12.5">
      <c r="B59" s="145" t="str">
        <f t="shared" si="13"/>
        <v/>
      </c>
      <c r="C59" s="496">
        <f>IF(D11="","-",+C58+1)</f>
        <v>2053</v>
      </c>
      <c r="D59" s="509">
        <f>IF(F58+SUM(E$17:E58)=D$10,F58,D$10-SUM(E$17:E58))</f>
        <v>0</v>
      </c>
      <c r="E59" s="510">
        <f>IF(+I14&lt;F58,I14,D59)</f>
        <v>0</v>
      </c>
      <c r="F59" s="511">
        <f t="shared" si="14"/>
        <v>0</v>
      </c>
      <c r="G59" s="512">
        <f t="shared" si="11"/>
        <v>0</v>
      </c>
      <c r="H59" s="478">
        <f t="shared" si="12"/>
        <v>0</v>
      </c>
      <c r="I59" s="501">
        <f t="shared" si="15"/>
        <v>0</v>
      </c>
      <c r="J59" s="501"/>
      <c r="K59" s="513"/>
      <c r="L59" s="505">
        <f t="shared" si="16"/>
        <v>0</v>
      </c>
      <c r="M59" s="513"/>
      <c r="N59" s="505">
        <f t="shared" si="17"/>
        <v>0</v>
      </c>
      <c r="O59" s="505">
        <f t="shared" si="18"/>
        <v>0</v>
      </c>
      <c r="P59" s="279"/>
      <c r="R59" s="244"/>
      <c r="S59" s="244"/>
      <c r="T59" s="244"/>
      <c r="U59" s="244"/>
    </row>
    <row r="60" spans="2:21" ht="12.5">
      <c r="B60" s="145" t="str">
        <f t="shared" si="13"/>
        <v/>
      </c>
      <c r="C60" s="496">
        <f>IF(D11="","-",+C59+1)</f>
        <v>2054</v>
      </c>
      <c r="D60" s="509">
        <f>IF(F59+SUM(E$17:E59)=D$10,F59,D$10-SUM(E$17:E59))</f>
        <v>0</v>
      </c>
      <c r="E60" s="510">
        <f>IF(+I14&lt;F59,I14,D60)</f>
        <v>0</v>
      </c>
      <c r="F60" s="511">
        <f t="shared" si="14"/>
        <v>0</v>
      </c>
      <c r="G60" s="512">
        <f t="shared" si="11"/>
        <v>0</v>
      </c>
      <c r="H60" s="478">
        <f t="shared" si="12"/>
        <v>0</v>
      </c>
      <c r="I60" s="501">
        <f t="shared" si="15"/>
        <v>0</v>
      </c>
      <c r="J60" s="501"/>
      <c r="K60" s="513"/>
      <c r="L60" s="505">
        <f t="shared" si="16"/>
        <v>0</v>
      </c>
      <c r="M60" s="513"/>
      <c r="N60" s="505">
        <f t="shared" si="17"/>
        <v>0</v>
      </c>
      <c r="O60" s="505">
        <f t="shared" si="18"/>
        <v>0</v>
      </c>
      <c r="P60" s="279"/>
      <c r="R60" s="244"/>
      <c r="S60" s="244"/>
      <c r="T60" s="244"/>
      <c r="U60" s="244"/>
    </row>
    <row r="61" spans="2:21" ht="12.5">
      <c r="B61" s="145" t="str">
        <f t="shared" si="13"/>
        <v/>
      </c>
      <c r="C61" s="496">
        <f>IF(D11="","-",+C60+1)</f>
        <v>2055</v>
      </c>
      <c r="D61" s="509">
        <f>IF(F60+SUM(E$17:E60)=D$10,F60,D$10-SUM(E$17:E60))</f>
        <v>0</v>
      </c>
      <c r="E61" s="510">
        <f>IF(+I14&lt;F60,I14,D61)</f>
        <v>0</v>
      </c>
      <c r="F61" s="511">
        <f t="shared" si="14"/>
        <v>0</v>
      </c>
      <c r="G61" s="512">
        <f t="shared" si="11"/>
        <v>0</v>
      </c>
      <c r="H61" s="478">
        <f t="shared" si="12"/>
        <v>0</v>
      </c>
      <c r="I61" s="501">
        <f t="shared" si="15"/>
        <v>0</v>
      </c>
      <c r="J61" s="501"/>
      <c r="K61" s="513"/>
      <c r="L61" s="505">
        <f t="shared" si="16"/>
        <v>0</v>
      </c>
      <c r="M61" s="513"/>
      <c r="N61" s="505">
        <f t="shared" si="17"/>
        <v>0</v>
      </c>
      <c r="O61" s="505">
        <f t="shared" si="18"/>
        <v>0</v>
      </c>
      <c r="P61" s="279"/>
      <c r="R61" s="244"/>
      <c r="S61" s="244"/>
      <c r="T61" s="244"/>
      <c r="U61" s="244"/>
    </row>
    <row r="62" spans="2:21" ht="12.5">
      <c r="B62" s="145" t="str">
        <f t="shared" si="13"/>
        <v/>
      </c>
      <c r="C62" s="496">
        <f>IF(D11="","-",+C61+1)</f>
        <v>2056</v>
      </c>
      <c r="D62" s="509">
        <f>IF(F61+SUM(E$17:E61)=D$10,F61,D$10-SUM(E$17:E61))</f>
        <v>0</v>
      </c>
      <c r="E62" s="510">
        <f>IF(+I14&lt;F61,I14,D62)</f>
        <v>0</v>
      </c>
      <c r="F62" s="511">
        <f t="shared" si="14"/>
        <v>0</v>
      </c>
      <c r="G62" s="524">
        <f t="shared" si="11"/>
        <v>0</v>
      </c>
      <c r="H62" s="478">
        <f t="shared" si="12"/>
        <v>0</v>
      </c>
      <c r="I62" s="501">
        <f t="shared" si="15"/>
        <v>0</v>
      </c>
      <c r="J62" s="501"/>
      <c r="K62" s="513"/>
      <c r="L62" s="505">
        <f t="shared" si="16"/>
        <v>0</v>
      </c>
      <c r="M62" s="513"/>
      <c r="N62" s="505">
        <f t="shared" si="17"/>
        <v>0</v>
      </c>
      <c r="O62" s="505">
        <f t="shared" si="18"/>
        <v>0</v>
      </c>
      <c r="P62" s="279"/>
      <c r="R62" s="244"/>
      <c r="S62" s="244"/>
      <c r="T62" s="244"/>
      <c r="U62" s="244"/>
    </row>
    <row r="63" spans="2:21" ht="12.5">
      <c r="B63" s="145" t="str">
        <f t="shared" si="13"/>
        <v/>
      </c>
      <c r="C63" s="496">
        <f>IF(D11="","-",+C62+1)</f>
        <v>2057</v>
      </c>
      <c r="D63" s="509">
        <f>IF(F62+SUM(E$17:E62)=D$10,F62,D$10-SUM(E$17:E62))</f>
        <v>0</v>
      </c>
      <c r="E63" s="510">
        <f>IF(+I14&lt;F62,I14,D63)</f>
        <v>0</v>
      </c>
      <c r="F63" s="511">
        <f t="shared" si="14"/>
        <v>0</v>
      </c>
      <c r="G63" s="524">
        <f t="shared" si="11"/>
        <v>0</v>
      </c>
      <c r="H63" s="478">
        <f t="shared" si="12"/>
        <v>0</v>
      </c>
      <c r="I63" s="501">
        <f t="shared" si="15"/>
        <v>0</v>
      </c>
      <c r="J63" s="501"/>
      <c r="K63" s="513"/>
      <c r="L63" s="505">
        <f t="shared" si="16"/>
        <v>0</v>
      </c>
      <c r="M63" s="513"/>
      <c r="N63" s="505">
        <f t="shared" si="17"/>
        <v>0</v>
      </c>
      <c r="O63" s="505">
        <f t="shared" si="18"/>
        <v>0</v>
      </c>
      <c r="P63" s="279"/>
      <c r="R63" s="244"/>
      <c r="S63" s="244"/>
      <c r="T63" s="244"/>
      <c r="U63" s="244"/>
    </row>
    <row r="64" spans="2:21" ht="12.5">
      <c r="B64" s="145" t="str">
        <f t="shared" si="13"/>
        <v/>
      </c>
      <c r="C64" s="496">
        <f>IF(D11="","-",+C63+1)</f>
        <v>2058</v>
      </c>
      <c r="D64" s="509">
        <f>IF(F63+SUM(E$17:E63)=D$10,F63,D$10-SUM(E$17:E63))</f>
        <v>0</v>
      </c>
      <c r="E64" s="510">
        <f>IF(+I14&lt;F63,I14,D64)</f>
        <v>0</v>
      </c>
      <c r="F64" s="511">
        <f t="shared" si="14"/>
        <v>0</v>
      </c>
      <c r="G64" s="524">
        <f t="shared" si="11"/>
        <v>0</v>
      </c>
      <c r="H64" s="478">
        <f t="shared" si="12"/>
        <v>0</v>
      </c>
      <c r="I64" s="501">
        <f t="shared" si="15"/>
        <v>0</v>
      </c>
      <c r="J64" s="501"/>
      <c r="K64" s="513"/>
      <c r="L64" s="505">
        <f t="shared" si="16"/>
        <v>0</v>
      </c>
      <c r="M64" s="513"/>
      <c r="N64" s="505">
        <f t="shared" si="17"/>
        <v>0</v>
      </c>
      <c r="O64" s="505">
        <f t="shared" si="18"/>
        <v>0</v>
      </c>
      <c r="P64" s="279"/>
      <c r="R64" s="244"/>
      <c r="S64" s="244"/>
      <c r="T64" s="244"/>
      <c r="U64" s="244"/>
    </row>
    <row r="65" spans="2:21" ht="12.5">
      <c r="B65" s="145" t="str">
        <f t="shared" si="13"/>
        <v/>
      </c>
      <c r="C65" s="496">
        <f>IF(D11="","-",+C64+1)</f>
        <v>2059</v>
      </c>
      <c r="D65" s="509">
        <f>IF(F64+SUM(E$17:E64)=D$10,F64,D$10-SUM(E$17:E64))</f>
        <v>0</v>
      </c>
      <c r="E65" s="510">
        <f>IF(+I14&lt;F64,I14,D65)</f>
        <v>0</v>
      </c>
      <c r="F65" s="511">
        <f t="shared" si="14"/>
        <v>0</v>
      </c>
      <c r="G65" s="524">
        <f t="shared" si="11"/>
        <v>0</v>
      </c>
      <c r="H65" s="478">
        <f t="shared" si="12"/>
        <v>0</v>
      </c>
      <c r="I65" s="501">
        <f t="shared" si="15"/>
        <v>0</v>
      </c>
      <c r="J65" s="501"/>
      <c r="K65" s="513"/>
      <c r="L65" s="505">
        <f t="shared" si="16"/>
        <v>0</v>
      </c>
      <c r="M65" s="513"/>
      <c r="N65" s="505">
        <f t="shared" si="17"/>
        <v>0</v>
      </c>
      <c r="O65" s="505">
        <f t="shared" si="18"/>
        <v>0</v>
      </c>
      <c r="P65" s="279"/>
      <c r="R65" s="244"/>
      <c r="S65" s="244"/>
      <c r="T65" s="244"/>
      <c r="U65" s="244"/>
    </row>
    <row r="66" spans="2:21" ht="12.5">
      <c r="B66" s="145" t="str">
        <f t="shared" si="13"/>
        <v/>
      </c>
      <c r="C66" s="496">
        <f>IF(D11="","-",+C65+1)</f>
        <v>2060</v>
      </c>
      <c r="D66" s="509">
        <f>IF(F65+SUM(E$17:E65)=D$10,F65,D$10-SUM(E$17:E65))</f>
        <v>0</v>
      </c>
      <c r="E66" s="510">
        <f>IF(+I14&lt;F65,I14,D66)</f>
        <v>0</v>
      </c>
      <c r="F66" s="511">
        <f t="shared" si="14"/>
        <v>0</v>
      </c>
      <c r="G66" s="524">
        <f t="shared" si="11"/>
        <v>0</v>
      </c>
      <c r="H66" s="478">
        <f t="shared" si="12"/>
        <v>0</v>
      </c>
      <c r="I66" s="501">
        <f t="shared" si="15"/>
        <v>0</v>
      </c>
      <c r="J66" s="501"/>
      <c r="K66" s="513"/>
      <c r="L66" s="505">
        <f t="shared" si="16"/>
        <v>0</v>
      </c>
      <c r="M66" s="513"/>
      <c r="N66" s="505">
        <f t="shared" si="17"/>
        <v>0</v>
      </c>
      <c r="O66" s="505">
        <f t="shared" si="18"/>
        <v>0</v>
      </c>
      <c r="P66" s="279"/>
      <c r="R66" s="244"/>
      <c r="S66" s="244"/>
      <c r="T66" s="244"/>
      <c r="U66" s="244"/>
    </row>
    <row r="67" spans="2:21" ht="12.5">
      <c r="B67" s="145" t="str">
        <f t="shared" si="13"/>
        <v/>
      </c>
      <c r="C67" s="496">
        <f>IF(D11="","-",+C66+1)</f>
        <v>2061</v>
      </c>
      <c r="D67" s="509">
        <f>IF(F66+SUM(E$17:E66)=D$10,F66,D$10-SUM(E$17:E66))</f>
        <v>0</v>
      </c>
      <c r="E67" s="510">
        <f>IF(+I14&lt;F66,I14,D67)</f>
        <v>0</v>
      </c>
      <c r="F67" s="511">
        <f t="shared" si="14"/>
        <v>0</v>
      </c>
      <c r="G67" s="524">
        <f t="shared" si="11"/>
        <v>0</v>
      </c>
      <c r="H67" s="478">
        <f t="shared" si="12"/>
        <v>0</v>
      </c>
      <c r="I67" s="501">
        <f t="shared" si="15"/>
        <v>0</v>
      </c>
      <c r="J67" s="501"/>
      <c r="K67" s="513"/>
      <c r="L67" s="505">
        <f t="shared" si="16"/>
        <v>0</v>
      </c>
      <c r="M67" s="513"/>
      <c r="N67" s="505">
        <f t="shared" si="17"/>
        <v>0</v>
      </c>
      <c r="O67" s="505">
        <f t="shared" si="18"/>
        <v>0</v>
      </c>
      <c r="P67" s="279"/>
      <c r="R67" s="244"/>
      <c r="S67" s="244"/>
      <c r="T67" s="244"/>
      <c r="U67" s="244"/>
    </row>
    <row r="68" spans="2:21" ht="12.5">
      <c r="B68" s="145" t="str">
        <f t="shared" si="13"/>
        <v/>
      </c>
      <c r="C68" s="496">
        <f>IF(D11="","-",+C67+1)</f>
        <v>2062</v>
      </c>
      <c r="D68" s="509">
        <f>IF(F67+SUM(E$17:E67)=D$10,F67,D$10-SUM(E$17:E67))</f>
        <v>0</v>
      </c>
      <c r="E68" s="510">
        <f>IF(+I14&lt;F67,I14,D68)</f>
        <v>0</v>
      </c>
      <c r="F68" s="511">
        <f t="shared" si="14"/>
        <v>0</v>
      </c>
      <c r="G68" s="524">
        <f t="shared" si="11"/>
        <v>0</v>
      </c>
      <c r="H68" s="478">
        <f t="shared" si="12"/>
        <v>0</v>
      </c>
      <c r="I68" s="501">
        <f t="shared" si="15"/>
        <v>0</v>
      </c>
      <c r="J68" s="501"/>
      <c r="K68" s="513"/>
      <c r="L68" s="505">
        <f t="shared" si="16"/>
        <v>0</v>
      </c>
      <c r="M68" s="513"/>
      <c r="N68" s="505">
        <f t="shared" si="17"/>
        <v>0</v>
      </c>
      <c r="O68" s="505">
        <f t="shared" si="18"/>
        <v>0</v>
      </c>
      <c r="P68" s="279"/>
      <c r="R68" s="244"/>
      <c r="S68" s="244"/>
      <c r="T68" s="244"/>
      <c r="U68" s="244"/>
    </row>
    <row r="69" spans="2:21" ht="12.5">
      <c r="B69" s="145" t="str">
        <f t="shared" si="13"/>
        <v/>
      </c>
      <c r="C69" s="496">
        <f>IF(D11="","-",+C68+1)</f>
        <v>2063</v>
      </c>
      <c r="D69" s="509">
        <f>IF(F68+SUM(E$17:E68)=D$10,F68,D$10-SUM(E$17:E68))</f>
        <v>0</v>
      </c>
      <c r="E69" s="510">
        <f>IF(+I14&lt;F68,I14,D69)</f>
        <v>0</v>
      </c>
      <c r="F69" s="511">
        <f t="shared" si="14"/>
        <v>0</v>
      </c>
      <c r="G69" s="524">
        <f t="shared" si="11"/>
        <v>0</v>
      </c>
      <c r="H69" s="478">
        <f t="shared" si="12"/>
        <v>0</v>
      </c>
      <c r="I69" s="501">
        <f t="shared" si="15"/>
        <v>0</v>
      </c>
      <c r="J69" s="501"/>
      <c r="K69" s="513"/>
      <c r="L69" s="505">
        <f t="shared" si="16"/>
        <v>0</v>
      </c>
      <c r="M69" s="513"/>
      <c r="N69" s="505">
        <f t="shared" si="17"/>
        <v>0</v>
      </c>
      <c r="O69" s="505">
        <f t="shared" si="18"/>
        <v>0</v>
      </c>
      <c r="P69" s="279"/>
      <c r="R69" s="244"/>
      <c r="S69" s="244"/>
      <c r="T69" s="244"/>
      <c r="U69" s="244"/>
    </row>
    <row r="70" spans="2:21" ht="12.5">
      <c r="B70" s="145" t="str">
        <f t="shared" si="13"/>
        <v/>
      </c>
      <c r="C70" s="496">
        <f>IF(D11="","-",+C69+1)</f>
        <v>2064</v>
      </c>
      <c r="D70" s="509">
        <f>IF(F69+SUM(E$17:E69)=D$10,F69,D$10-SUM(E$17:E69))</f>
        <v>0</v>
      </c>
      <c r="E70" s="510">
        <f>IF(+I14&lt;F69,I14,D70)</f>
        <v>0</v>
      </c>
      <c r="F70" s="511">
        <f t="shared" si="14"/>
        <v>0</v>
      </c>
      <c r="G70" s="524">
        <f t="shared" si="11"/>
        <v>0</v>
      </c>
      <c r="H70" s="478">
        <f t="shared" si="12"/>
        <v>0</v>
      </c>
      <c r="I70" s="501">
        <f t="shared" si="15"/>
        <v>0</v>
      </c>
      <c r="J70" s="501"/>
      <c r="K70" s="513"/>
      <c r="L70" s="505">
        <f t="shared" si="16"/>
        <v>0</v>
      </c>
      <c r="M70" s="513"/>
      <c r="N70" s="505">
        <f t="shared" si="17"/>
        <v>0</v>
      </c>
      <c r="O70" s="505">
        <f t="shared" si="18"/>
        <v>0</v>
      </c>
      <c r="P70" s="279"/>
      <c r="R70" s="244"/>
      <c r="S70" s="244"/>
      <c r="T70" s="244"/>
      <c r="U70" s="244"/>
    </row>
    <row r="71" spans="2:21" ht="12.5">
      <c r="B71" s="145" t="str">
        <f t="shared" si="13"/>
        <v/>
      </c>
      <c r="C71" s="496">
        <f>IF(D11="","-",+C70+1)</f>
        <v>2065</v>
      </c>
      <c r="D71" s="509">
        <f>IF(F70+SUM(E$17:E70)=D$10,F70,D$10-SUM(E$17:E70))</f>
        <v>0</v>
      </c>
      <c r="E71" s="510">
        <f>IF(+I14&lt;F70,I14,D71)</f>
        <v>0</v>
      </c>
      <c r="F71" s="511">
        <f t="shared" si="14"/>
        <v>0</v>
      </c>
      <c r="G71" s="524">
        <f t="shared" si="11"/>
        <v>0</v>
      </c>
      <c r="H71" s="478">
        <f t="shared" si="12"/>
        <v>0</v>
      </c>
      <c r="I71" s="501">
        <f t="shared" si="15"/>
        <v>0</v>
      </c>
      <c r="J71" s="501"/>
      <c r="K71" s="513"/>
      <c r="L71" s="505">
        <f t="shared" si="16"/>
        <v>0</v>
      </c>
      <c r="M71" s="513"/>
      <c r="N71" s="505">
        <f t="shared" si="17"/>
        <v>0</v>
      </c>
      <c r="O71" s="505">
        <f t="shared" si="18"/>
        <v>0</v>
      </c>
      <c r="P71" s="279"/>
      <c r="R71" s="244"/>
      <c r="S71" s="244"/>
      <c r="T71" s="244"/>
      <c r="U71" s="244"/>
    </row>
    <row r="72" spans="2:21" ht="12.5">
      <c r="B72" s="145" t="str">
        <f t="shared" si="13"/>
        <v/>
      </c>
      <c r="C72" s="496">
        <f>IF(D11="","-",+C71+1)</f>
        <v>2066</v>
      </c>
      <c r="D72" s="509">
        <f>IF(F71+SUM(E$17:E71)=D$10,F71,D$10-SUM(E$17:E71))</f>
        <v>0</v>
      </c>
      <c r="E72" s="510">
        <f>IF(+I14&lt;F71,I14,D72)</f>
        <v>0</v>
      </c>
      <c r="F72" s="511">
        <f t="shared" si="14"/>
        <v>0</v>
      </c>
      <c r="G72" s="524">
        <f t="shared" si="11"/>
        <v>0</v>
      </c>
      <c r="H72" s="478">
        <f t="shared" si="12"/>
        <v>0</v>
      </c>
      <c r="I72" s="501">
        <f t="shared" si="15"/>
        <v>0</v>
      </c>
      <c r="J72" s="501"/>
      <c r="K72" s="513"/>
      <c r="L72" s="505">
        <f t="shared" si="16"/>
        <v>0</v>
      </c>
      <c r="M72" s="513"/>
      <c r="N72" s="505">
        <f t="shared" si="17"/>
        <v>0</v>
      </c>
      <c r="O72" s="505">
        <f t="shared" si="18"/>
        <v>0</v>
      </c>
      <c r="P72" s="279"/>
      <c r="R72" s="244"/>
      <c r="S72" s="244"/>
      <c r="T72" s="244"/>
      <c r="U72" s="244"/>
    </row>
    <row r="73" spans="2:21" ht="13" thickBot="1">
      <c r="B73" s="145" t="str">
        <f t="shared" si="13"/>
        <v/>
      </c>
      <c r="C73" s="525">
        <f>IF(D11="","-",+C72+1)</f>
        <v>2067</v>
      </c>
      <c r="D73" s="526">
        <f>IF(F72+SUM(E$17:E72)=D$10,F72,D$10-SUM(E$17:E72))</f>
        <v>0</v>
      </c>
      <c r="E73" s="527">
        <f>IF(+I14&lt;F72,I14,D73)</f>
        <v>0</v>
      </c>
      <c r="F73" s="528">
        <f t="shared" si="14"/>
        <v>0</v>
      </c>
      <c r="G73" s="529">
        <f t="shared" si="11"/>
        <v>0</v>
      </c>
      <c r="H73" s="459">
        <f t="shared" si="12"/>
        <v>0</v>
      </c>
      <c r="I73" s="530">
        <f t="shared" si="15"/>
        <v>0</v>
      </c>
      <c r="J73" s="501"/>
      <c r="K73" s="531"/>
      <c r="L73" s="532">
        <f t="shared" si="16"/>
        <v>0</v>
      </c>
      <c r="M73" s="531"/>
      <c r="N73" s="532">
        <f t="shared" si="17"/>
        <v>0</v>
      </c>
      <c r="O73" s="532">
        <f t="shared" si="18"/>
        <v>0</v>
      </c>
      <c r="P73" s="279"/>
      <c r="R73" s="244"/>
      <c r="S73" s="244"/>
      <c r="T73" s="244"/>
      <c r="U73" s="244"/>
    </row>
    <row r="74" spans="2:21" ht="12.5">
      <c r="C74" s="350" t="s">
        <v>75</v>
      </c>
      <c r="D74" s="295"/>
      <c r="E74" s="295">
        <f>SUM(E17:E73)</f>
        <v>11038232</v>
      </c>
      <c r="F74" s="295"/>
      <c r="G74" s="295">
        <f>SUM(G17:G73)</f>
        <v>35830037.905307226</v>
      </c>
      <c r="H74" s="295">
        <f>SUM(H17:H73)</f>
        <v>35830037.905307226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4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1273577.8300042083</v>
      </c>
      <c r="N88" s="545">
        <f>IF(J93&lt;D11,0,VLOOKUP(J93,C17:O73,11))</f>
        <v>1273577.8300042083</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1330289.5929866973</v>
      </c>
      <c r="N89" s="549">
        <f>IF(J93&lt;D11,0,VLOOKUP(J93,C100:P155,7))</f>
        <v>1330289.5929866973</v>
      </c>
      <c r="O89" s="550">
        <f>+N89-M89</f>
        <v>0</v>
      </c>
      <c r="P89" s="244"/>
      <c r="Q89" s="244"/>
      <c r="R89" s="244"/>
      <c r="S89" s="244"/>
      <c r="T89" s="244"/>
      <c r="U89" s="244"/>
    </row>
    <row r="90" spans="1:21" ht="13.5" thickBot="1">
      <c r="C90" s="455" t="s">
        <v>82</v>
      </c>
      <c r="D90" s="551" t="str">
        <f>+D7</f>
        <v xml:space="preserve">Bartlesville SE to Coffeyville T Rebuild </v>
      </c>
      <c r="E90" s="244"/>
      <c r="F90" s="244"/>
      <c r="G90" s="244"/>
      <c r="H90" s="244"/>
      <c r="I90" s="326"/>
      <c r="J90" s="326"/>
      <c r="K90" s="552"/>
      <c r="L90" s="553" t="s">
        <v>135</v>
      </c>
      <c r="M90" s="554">
        <f>+M89-M88</f>
        <v>56711.762982489076</v>
      </c>
      <c r="N90" s="554">
        <f>+N89-N88</f>
        <v>56711.762982489076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TP2008079</v>
      </c>
      <c r="E92" s="559"/>
      <c r="F92" s="559"/>
      <c r="G92" s="559"/>
      <c r="H92" s="559"/>
      <c r="I92" s="559"/>
      <c r="J92" s="559"/>
      <c r="K92" s="561"/>
      <c r="P92" s="469"/>
      <c r="Q92" s="244"/>
      <c r="R92" s="244"/>
      <c r="S92" s="244"/>
      <c r="T92" s="244"/>
      <c r="U92" s="244"/>
    </row>
    <row r="93" spans="1:21" ht="13">
      <c r="C93" s="473" t="s">
        <v>49</v>
      </c>
      <c r="D93" s="599">
        <f>D10</f>
        <v>11038232</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6</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394222.57142857142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600" t="s">
        <v>74</v>
      </c>
      <c r="M99" s="600" t="s">
        <v>74</v>
      </c>
      <c r="N99" s="600" t="s">
        <v>94</v>
      </c>
      <c r="O99" s="600" t="s">
        <v>94</v>
      </c>
      <c r="P99" s="600" t="s">
        <v>94</v>
      </c>
      <c r="Q99" s="244"/>
      <c r="R99" s="244"/>
      <c r="S99" s="244"/>
      <c r="T99" s="244"/>
      <c r="U99" s="244"/>
    </row>
    <row r="100" spans="1:21" ht="12.5">
      <c r="B100" s="145" t="str">
        <f t="shared" ref="B100:B131" si="19">IF(D100=F99,"","IU")</f>
        <v>IU</v>
      </c>
      <c r="C100" s="496">
        <f>IF(D94= "","-",D94)</f>
        <v>2011</v>
      </c>
      <c r="D100" s="497">
        <v>0</v>
      </c>
      <c r="E100" s="499">
        <v>101638.13793103448</v>
      </c>
      <c r="F100" s="506">
        <v>11688385.862068966</v>
      </c>
      <c r="G100" s="572">
        <v>5844192.931034483</v>
      </c>
      <c r="H100" s="572">
        <v>536168.05303368822</v>
      </c>
      <c r="I100" s="572">
        <v>536168.05303368822</v>
      </c>
      <c r="J100" s="505">
        <v>0</v>
      </c>
      <c r="K100" s="589"/>
      <c r="L100" s="601">
        <f t="shared" ref="L100:L105" si="20">H100</f>
        <v>536168.05303368822</v>
      </c>
      <c r="M100" s="522">
        <f t="shared" ref="M100:M131" si="21">IF(L100&lt;&gt;0,+H100-L100,0)</f>
        <v>0</v>
      </c>
      <c r="N100" s="602">
        <f t="shared" ref="N100:N105" si="22">I100</f>
        <v>536168.05303368822</v>
      </c>
      <c r="O100" s="603">
        <f t="shared" ref="O100:O131" si="23">IF(N100&lt;&gt;0,+I100-N100,0)</f>
        <v>0</v>
      </c>
      <c r="P100" s="604">
        <f t="shared" ref="P100:P131" si="24">+O100-M100</f>
        <v>0</v>
      </c>
      <c r="Q100" s="244"/>
      <c r="R100" s="244"/>
      <c r="S100" s="244"/>
      <c r="T100" s="244"/>
      <c r="U100" s="244"/>
    </row>
    <row r="101" spans="1:21" ht="12.5">
      <c r="B101" s="145" t="str">
        <f t="shared" si="19"/>
        <v>IU</v>
      </c>
      <c r="C101" s="496">
        <f>IF(D94="","-",+C100+1)</f>
        <v>2012</v>
      </c>
      <c r="D101" s="497">
        <v>11641161.862068966</v>
      </c>
      <c r="E101" s="499">
        <v>202462.06896551725</v>
      </c>
      <c r="F101" s="506">
        <v>11438699.793103449</v>
      </c>
      <c r="G101" s="506">
        <v>11539930.827586208</v>
      </c>
      <c r="H101" s="499">
        <v>1372027.6470996495</v>
      </c>
      <c r="I101" s="500">
        <v>1372027.6470996495</v>
      </c>
      <c r="J101" s="505">
        <v>0</v>
      </c>
      <c r="K101" s="589"/>
      <c r="L101" s="593">
        <f t="shared" si="20"/>
        <v>1372027.6470996495</v>
      </c>
      <c r="M101" s="505">
        <f t="shared" ref="M101:M106" si="25">IF(L101&lt;&gt;0,+H101-L101,0)</f>
        <v>0</v>
      </c>
      <c r="N101" s="507">
        <f t="shared" si="22"/>
        <v>1372027.6470996495</v>
      </c>
      <c r="O101" s="351">
        <f>IF(N101&lt;&gt;0,+I101-N101,0)</f>
        <v>0</v>
      </c>
      <c r="P101" s="595">
        <f>+O101-M101</f>
        <v>0</v>
      </c>
      <c r="Q101" s="244"/>
      <c r="R101" s="244"/>
      <c r="S101" s="244"/>
      <c r="T101" s="244"/>
      <c r="U101" s="244"/>
    </row>
    <row r="102" spans="1:21" ht="12.5">
      <c r="B102" s="145" t="str">
        <f t="shared" si="19"/>
        <v/>
      </c>
      <c r="C102" s="496">
        <f>IF(D94="","-",+C101+1)</f>
        <v>2013</v>
      </c>
      <c r="D102" s="497">
        <v>11438699.793103449</v>
      </c>
      <c r="E102" s="499">
        <v>202462.06896551725</v>
      </c>
      <c r="F102" s="506">
        <v>11236237.724137932</v>
      </c>
      <c r="G102" s="506">
        <v>11337468.758620691</v>
      </c>
      <c r="H102" s="499">
        <v>1491078.2600060694</v>
      </c>
      <c r="I102" s="500">
        <v>1491078.2600060694</v>
      </c>
      <c r="J102" s="505">
        <v>0</v>
      </c>
      <c r="K102" s="505"/>
      <c r="L102" s="593">
        <f t="shared" si="20"/>
        <v>1491078.2600060694</v>
      </c>
      <c r="M102" s="505">
        <f t="shared" si="25"/>
        <v>0</v>
      </c>
      <c r="N102" s="507">
        <f t="shared" si="22"/>
        <v>1491078.2600060694</v>
      </c>
      <c r="O102" s="351">
        <f>IF(N102&lt;&gt;0,+I102-N102,0)</f>
        <v>0</v>
      </c>
      <c r="P102" s="595">
        <f>+O102-M102</f>
        <v>0</v>
      </c>
      <c r="Q102" s="244"/>
      <c r="R102" s="244"/>
      <c r="S102" s="244"/>
      <c r="T102" s="244"/>
      <c r="U102" s="244"/>
    </row>
    <row r="103" spans="1:21" ht="12.5">
      <c r="B103" s="145" t="str">
        <f t="shared" si="19"/>
        <v/>
      </c>
      <c r="C103" s="496">
        <f>IF(D94="","-",+C102+1)</f>
        <v>2014</v>
      </c>
      <c r="D103" s="497">
        <v>11236237.724137932</v>
      </c>
      <c r="E103" s="499">
        <v>202462.06896551725</v>
      </c>
      <c r="F103" s="506">
        <v>11033775.655172415</v>
      </c>
      <c r="G103" s="506">
        <v>11135006.689655174</v>
      </c>
      <c r="H103" s="499">
        <v>1399958.856395772</v>
      </c>
      <c r="I103" s="500">
        <v>1399958.856395772</v>
      </c>
      <c r="J103" s="505">
        <v>0</v>
      </c>
      <c r="K103" s="505"/>
      <c r="L103" s="593">
        <f t="shared" si="20"/>
        <v>1399958.856395772</v>
      </c>
      <c r="M103" s="505">
        <f t="shared" si="25"/>
        <v>0</v>
      </c>
      <c r="N103" s="507">
        <f t="shared" si="22"/>
        <v>1399958.856395772</v>
      </c>
      <c r="O103" s="351">
        <f>IF(N103&lt;&gt;0,+I103-N103,0)</f>
        <v>0</v>
      </c>
      <c r="P103" s="595">
        <f>+O103-M103</f>
        <v>0</v>
      </c>
      <c r="Q103" s="244"/>
      <c r="R103" s="244"/>
      <c r="S103" s="244"/>
      <c r="T103" s="244"/>
      <c r="U103" s="244"/>
    </row>
    <row r="104" spans="1:21" ht="12.5">
      <c r="B104" s="145" t="str">
        <f t="shared" si="19"/>
        <v>IU</v>
      </c>
      <c r="C104" s="496">
        <f>IF(D94="","-",+C103+1)</f>
        <v>2015</v>
      </c>
      <c r="D104" s="497">
        <v>10329207.655172413</v>
      </c>
      <c r="E104" s="499">
        <v>229963.16666666666</v>
      </c>
      <c r="F104" s="506">
        <v>10099244.488505747</v>
      </c>
      <c r="G104" s="506">
        <v>10214226.071839079</v>
      </c>
      <c r="H104" s="499">
        <v>1367107.118762597</v>
      </c>
      <c r="I104" s="500">
        <v>1367107.118762597</v>
      </c>
      <c r="J104" s="505">
        <v>0</v>
      </c>
      <c r="K104" s="505"/>
      <c r="L104" s="593">
        <f t="shared" si="20"/>
        <v>1367107.118762597</v>
      </c>
      <c r="M104" s="505">
        <f t="shared" si="25"/>
        <v>0</v>
      </c>
      <c r="N104" s="507">
        <f t="shared" si="22"/>
        <v>1367107.118762597</v>
      </c>
      <c r="O104" s="501">
        <f t="shared" si="23"/>
        <v>0</v>
      </c>
      <c r="P104" s="505">
        <f t="shared" si="24"/>
        <v>0</v>
      </c>
      <c r="Q104" s="244"/>
      <c r="R104" s="244"/>
      <c r="S104" s="244"/>
      <c r="T104" s="244"/>
      <c r="U104" s="244"/>
    </row>
    <row r="105" spans="1:21" ht="12.5">
      <c r="B105" s="145" t="str">
        <f t="shared" si="19"/>
        <v/>
      </c>
      <c r="C105" s="496">
        <f>IF(D94="","-",+C104+1)</f>
        <v>2016</v>
      </c>
      <c r="D105" s="497">
        <v>10099244.488505747</v>
      </c>
      <c r="E105" s="499">
        <v>216435.92156862744</v>
      </c>
      <c r="F105" s="506">
        <v>9882808.5669371206</v>
      </c>
      <c r="G105" s="506">
        <v>9991026.5277214348</v>
      </c>
      <c r="H105" s="499">
        <v>1299158.0653771381</v>
      </c>
      <c r="I105" s="500">
        <v>1299158.0653771381</v>
      </c>
      <c r="J105" s="505">
        <f t="shared" ref="J105:J131" si="26">+I105-H105</f>
        <v>0</v>
      </c>
      <c r="K105" s="505"/>
      <c r="L105" s="593">
        <f t="shared" si="20"/>
        <v>1299158.0653771381</v>
      </c>
      <c r="M105" s="505">
        <f t="shared" si="25"/>
        <v>0</v>
      </c>
      <c r="N105" s="507">
        <f t="shared" si="22"/>
        <v>1299158.0653771381</v>
      </c>
      <c r="O105" s="501">
        <f>IF(N105&lt;&gt;0,+I105-N105,0)</f>
        <v>0</v>
      </c>
      <c r="P105" s="505">
        <f>+O105-M105</f>
        <v>0</v>
      </c>
      <c r="Q105" s="244"/>
      <c r="R105" s="244"/>
      <c r="S105" s="244"/>
      <c r="T105" s="244"/>
      <c r="U105" s="244"/>
    </row>
    <row r="106" spans="1:21" ht="12.5">
      <c r="B106" s="145" t="str">
        <f t="shared" si="19"/>
        <v/>
      </c>
      <c r="C106" s="496">
        <f>IF(D94="","-",+C105+1)</f>
        <v>2017</v>
      </c>
      <c r="D106" s="497">
        <v>9882808.5669371206</v>
      </c>
      <c r="E106" s="499">
        <v>275955.8</v>
      </c>
      <c r="F106" s="506">
        <v>9606852.7669371199</v>
      </c>
      <c r="G106" s="506">
        <v>9744830.6669371203</v>
      </c>
      <c r="H106" s="499">
        <v>1419373.9279001462</v>
      </c>
      <c r="I106" s="500">
        <v>1419373.9279001462</v>
      </c>
      <c r="J106" s="505">
        <v>0</v>
      </c>
      <c r="K106" s="505"/>
      <c r="L106" s="593">
        <f>H106</f>
        <v>1419373.9279001462</v>
      </c>
      <c r="M106" s="505">
        <f t="shared" si="25"/>
        <v>0</v>
      </c>
      <c r="N106" s="507">
        <f>I106</f>
        <v>1419373.9279001462</v>
      </c>
      <c r="O106" s="501">
        <f>IF(N106&lt;&gt;0,+I106-N106,0)</f>
        <v>0</v>
      </c>
      <c r="P106" s="505">
        <f>+O106-M106</f>
        <v>0</v>
      </c>
      <c r="Q106" s="244"/>
      <c r="R106" s="244"/>
      <c r="S106" s="244"/>
      <c r="T106" s="244"/>
      <c r="U106" s="244"/>
    </row>
    <row r="107" spans="1:21" ht="12.5">
      <c r="B107" s="145" t="str">
        <f t="shared" si="19"/>
        <v/>
      </c>
      <c r="C107" s="496">
        <f>IF(D94="","-",+C106+1)</f>
        <v>2018</v>
      </c>
      <c r="D107" s="497">
        <v>9606852.7669371199</v>
      </c>
      <c r="E107" s="499">
        <v>306617.55555555556</v>
      </c>
      <c r="F107" s="506">
        <v>9300235.2113815639</v>
      </c>
      <c r="G107" s="506">
        <v>9453543.9891593419</v>
      </c>
      <c r="H107" s="499">
        <v>1304556.8117171286</v>
      </c>
      <c r="I107" s="500">
        <v>1304556.8117171286</v>
      </c>
      <c r="J107" s="505">
        <f t="shared" si="26"/>
        <v>0</v>
      </c>
      <c r="K107" s="505"/>
      <c r="L107" s="593">
        <f>H107</f>
        <v>1304556.8117171286</v>
      </c>
      <c r="M107" s="505">
        <f t="shared" ref="M107" si="27">IF(L107&lt;&gt;0,+H107-L107,0)</f>
        <v>0</v>
      </c>
      <c r="N107" s="507">
        <f>I107</f>
        <v>1304556.8117171286</v>
      </c>
      <c r="O107" s="501">
        <f>IF(N107&lt;&gt;0,+I107-N107,0)</f>
        <v>0</v>
      </c>
      <c r="P107" s="505">
        <f>+O107-M107</f>
        <v>0</v>
      </c>
      <c r="Q107" s="244"/>
      <c r="R107" s="244"/>
      <c r="S107" s="244"/>
      <c r="T107" s="244"/>
      <c r="U107" s="244"/>
    </row>
    <row r="108" spans="1:21" ht="12.5">
      <c r="B108" s="145" t="str">
        <f t="shared" si="19"/>
        <v/>
      </c>
      <c r="C108" s="496">
        <f>IF(D94="","-",+C107+1)</f>
        <v>2019</v>
      </c>
      <c r="D108" s="497">
        <v>9300235.2113815639</v>
      </c>
      <c r="E108" s="499">
        <v>306617.55555555556</v>
      </c>
      <c r="F108" s="506">
        <v>8993617.6558260079</v>
      </c>
      <c r="G108" s="506">
        <v>9146926.4336037859</v>
      </c>
      <c r="H108" s="499">
        <v>1272189.5116159101</v>
      </c>
      <c r="I108" s="500">
        <v>1272189.5116159101</v>
      </c>
      <c r="J108" s="505">
        <f t="shared" si="26"/>
        <v>0</v>
      </c>
      <c r="K108" s="505"/>
      <c r="L108" s="593">
        <f>H108</f>
        <v>1272189.5116159101</v>
      </c>
      <c r="M108" s="505">
        <f t="shared" ref="M108" si="28">IF(L108&lt;&gt;0,+H108-L108,0)</f>
        <v>0</v>
      </c>
      <c r="N108" s="507">
        <f>I108</f>
        <v>1272189.5116159101</v>
      </c>
      <c r="O108" s="505">
        <f t="shared" si="23"/>
        <v>0</v>
      </c>
      <c r="P108" s="505">
        <f t="shared" si="24"/>
        <v>0</v>
      </c>
      <c r="Q108" s="244"/>
      <c r="R108" s="244"/>
      <c r="S108" s="244"/>
      <c r="T108" s="244"/>
      <c r="U108" s="244"/>
    </row>
    <row r="109" spans="1:21" ht="12.5">
      <c r="B109" s="145" t="str">
        <f t="shared" si="19"/>
        <v/>
      </c>
      <c r="C109" s="496">
        <f>IF(D94="","-",+C108+1)</f>
        <v>2020</v>
      </c>
      <c r="D109" s="350">
        <f>IF(F108+SUM(E$100:E108)=D$93,F108,D$93-SUM(E$100:E108))</f>
        <v>8993617.6558260079</v>
      </c>
      <c r="E109" s="510">
        <f>IF(+J97&lt;F108,J97,D109)</f>
        <v>394222.57142857142</v>
      </c>
      <c r="F109" s="511">
        <f t="shared" ref="F109:F132" si="29">+D109-E109</f>
        <v>8599395.0843974371</v>
      </c>
      <c r="G109" s="511">
        <f t="shared" ref="G109:G131" si="30">+(F109+D109)/2</f>
        <v>8796506.3701117225</v>
      </c>
      <c r="H109" s="646">
        <f>(D109+F109)/2*J$95+E109</f>
        <v>1330289.5929866973</v>
      </c>
      <c r="I109" s="573">
        <f t="shared" ref="I109:I131" si="31">+J$96*G109+E109</f>
        <v>1330289.5929866973</v>
      </c>
      <c r="J109" s="505">
        <f t="shared" si="26"/>
        <v>0</v>
      </c>
      <c r="K109" s="505"/>
      <c r="L109" s="513"/>
      <c r="M109" s="505">
        <f t="shared" si="21"/>
        <v>0</v>
      </c>
      <c r="N109" s="513"/>
      <c r="O109" s="505">
        <f t="shared" si="23"/>
        <v>0</v>
      </c>
      <c r="P109" s="505">
        <f t="shared" si="24"/>
        <v>0</v>
      </c>
      <c r="Q109" s="244"/>
      <c r="R109" s="244"/>
      <c r="S109" s="244"/>
      <c r="T109" s="244"/>
      <c r="U109" s="244"/>
    </row>
    <row r="110" spans="1:21" ht="12.5">
      <c r="B110" s="145" t="str">
        <f t="shared" si="19"/>
        <v/>
      </c>
      <c r="C110" s="496">
        <f>IF(D94="","-",+C109+1)</f>
        <v>2021</v>
      </c>
      <c r="D110" s="350">
        <f>IF(F109+SUM(E$100:E109)=D$93,F109,D$93-SUM(E$100:E109))</f>
        <v>8599395.0843974371</v>
      </c>
      <c r="E110" s="510">
        <f>IF(+J97&lt;F109,J97,D110)</f>
        <v>394222.57142857142</v>
      </c>
      <c r="F110" s="511">
        <f t="shared" si="29"/>
        <v>8205172.5129688652</v>
      </c>
      <c r="G110" s="511">
        <f t="shared" si="30"/>
        <v>8402283.7986831516</v>
      </c>
      <c r="H110" s="646">
        <f t="shared" ref="H110:H155" si="32">(D110+F110)/2*J$95+E110</f>
        <v>1288338.9897879139</v>
      </c>
      <c r="I110" s="573">
        <f t="shared" si="31"/>
        <v>1288338.9897879139</v>
      </c>
      <c r="J110" s="505">
        <f t="shared" si="26"/>
        <v>0</v>
      </c>
      <c r="K110" s="505"/>
      <c r="L110" s="513"/>
      <c r="M110" s="505">
        <f t="shared" si="21"/>
        <v>0</v>
      </c>
      <c r="N110" s="513"/>
      <c r="O110" s="505">
        <f t="shared" si="23"/>
        <v>0</v>
      </c>
      <c r="P110" s="505">
        <f t="shared" si="24"/>
        <v>0</v>
      </c>
      <c r="Q110" s="244"/>
      <c r="R110" s="244"/>
      <c r="S110" s="244"/>
      <c r="T110" s="244"/>
      <c r="U110" s="244"/>
    </row>
    <row r="111" spans="1:21" ht="12.5">
      <c r="B111" s="145" t="str">
        <f t="shared" si="19"/>
        <v/>
      </c>
      <c r="C111" s="496">
        <f>IF(D94="","-",+C110+1)</f>
        <v>2022</v>
      </c>
      <c r="D111" s="350">
        <f>IF(F110+SUM(E$100:E110)=D$93,F110,D$93-SUM(E$100:E110))</f>
        <v>8205172.5129688652</v>
      </c>
      <c r="E111" s="510">
        <f>IF(+J97&lt;F110,J97,D111)</f>
        <v>394222.57142857142</v>
      </c>
      <c r="F111" s="511">
        <f t="shared" si="29"/>
        <v>7810949.9415402934</v>
      </c>
      <c r="G111" s="511">
        <f t="shared" si="30"/>
        <v>8008061.2272545788</v>
      </c>
      <c r="H111" s="646">
        <f t="shared" si="32"/>
        <v>1246388.3865891302</v>
      </c>
      <c r="I111" s="573">
        <f t="shared" si="31"/>
        <v>1246388.3865891302</v>
      </c>
      <c r="J111" s="505">
        <f t="shared" si="26"/>
        <v>0</v>
      </c>
      <c r="K111" s="505"/>
      <c r="L111" s="513"/>
      <c r="M111" s="505">
        <f t="shared" si="21"/>
        <v>0</v>
      </c>
      <c r="N111" s="513"/>
      <c r="O111" s="505">
        <f t="shared" si="23"/>
        <v>0</v>
      </c>
      <c r="P111" s="505">
        <f t="shared" si="24"/>
        <v>0</v>
      </c>
      <c r="Q111" s="244"/>
      <c r="R111" s="244"/>
      <c r="S111" s="244"/>
      <c r="T111" s="244"/>
      <c r="U111" s="244"/>
    </row>
    <row r="112" spans="1:21" ht="12.5">
      <c r="B112" s="145" t="str">
        <f t="shared" si="19"/>
        <v/>
      </c>
      <c r="C112" s="496">
        <f>IF(D94="","-",+C111+1)</f>
        <v>2023</v>
      </c>
      <c r="D112" s="350">
        <f>IF(F111+SUM(E$100:E111)=D$93,F111,D$93-SUM(E$100:E111))</f>
        <v>7810949.9415402934</v>
      </c>
      <c r="E112" s="510">
        <f>IF(+J97&lt;F111,J97,D112)</f>
        <v>394222.57142857142</v>
      </c>
      <c r="F112" s="511">
        <f t="shared" si="29"/>
        <v>7416727.3701117216</v>
      </c>
      <c r="G112" s="511">
        <f t="shared" si="30"/>
        <v>7613838.6558260079</v>
      </c>
      <c r="H112" s="646">
        <f t="shared" si="32"/>
        <v>1204437.7833903467</v>
      </c>
      <c r="I112" s="573">
        <f t="shared" si="31"/>
        <v>1204437.7833903467</v>
      </c>
      <c r="J112" s="505">
        <f t="shared" si="26"/>
        <v>0</v>
      </c>
      <c r="K112" s="505"/>
      <c r="L112" s="513"/>
      <c r="M112" s="505">
        <f t="shared" si="21"/>
        <v>0</v>
      </c>
      <c r="N112" s="513"/>
      <c r="O112" s="505">
        <f t="shared" si="23"/>
        <v>0</v>
      </c>
      <c r="P112" s="505">
        <f t="shared" si="24"/>
        <v>0</v>
      </c>
      <c r="Q112" s="244"/>
      <c r="R112" s="244"/>
      <c r="S112" s="244"/>
      <c r="T112" s="244"/>
      <c r="U112" s="244"/>
    </row>
    <row r="113" spans="2:21" ht="12.5">
      <c r="B113" s="145" t="str">
        <f t="shared" si="19"/>
        <v/>
      </c>
      <c r="C113" s="496">
        <f>IF(D94="","-",+C112+1)</f>
        <v>2024</v>
      </c>
      <c r="D113" s="350">
        <f>IF(F112+SUM(E$100:E112)=D$93,F112,D$93-SUM(E$100:E112))</f>
        <v>7416727.3701117216</v>
      </c>
      <c r="E113" s="510">
        <f>IF(+J97&lt;F112,J97,D113)</f>
        <v>394222.57142857142</v>
      </c>
      <c r="F113" s="511">
        <f t="shared" si="29"/>
        <v>7022504.7986831497</v>
      </c>
      <c r="G113" s="511">
        <f t="shared" si="30"/>
        <v>7219616.0843974352</v>
      </c>
      <c r="H113" s="646">
        <f t="shared" si="32"/>
        <v>1162487.1801915632</v>
      </c>
      <c r="I113" s="573">
        <f t="shared" si="31"/>
        <v>1162487.1801915632</v>
      </c>
      <c r="J113" s="505">
        <f t="shared" si="26"/>
        <v>0</v>
      </c>
      <c r="K113" s="505"/>
      <c r="L113" s="513"/>
      <c r="M113" s="505">
        <f t="shared" si="21"/>
        <v>0</v>
      </c>
      <c r="N113" s="513"/>
      <c r="O113" s="505">
        <f t="shared" si="23"/>
        <v>0</v>
      </c>
      <c r="P113" s="505">
        <f t="shared" si="24"/>
        <v>0</v>
      </c>
      <c r="Q113" s="244"/>
      <c r="R113" s="244"/>
      <c r="S113" s="244"/>
      <c r="T113" s="244"/>
      <c r="U113" s="244"/>
    </row>
    <row r="114" spans="2:21" ht="12.5">
      <c r="B114" s="145" t="str">
        <f t="shared" si="19"/>
        <v/>
      </c>
      <c r="C114" s="496">
        <f>IF(D94="","-",+C113+1)</f>
        <v>2025</v>
      </c>
      <c r="D114" s="350">
        <f>IF(F113+SUM(E$100:E113)=D$93,F113,D$93-SUM(E$100:E113))</f>
        <v>7022504.7986831497</v>
      </c>
      <c r="E114" s="510">
        <f>IF(+J97&lt;F113,J97,D114)</f>
        <v>394222.57142857142</v>
      </c>
      <c r="F114" s="511">
        <f t="shared" si="29"/>
        <v>6628282.2272545779</v>
      </c>
      <c r="G114" s="511">
        <f t="shared" si="30"/>
        <v>6825393.5129688643</v>
      </c>
      <c r="H114" s="646">
        <f t="shared" si="32"/>
        <v>1120536.5769927797</v>
      </c>
      <c r="I114" s="573">
        <f t="shared" si="31"/>
        <v>1120536.5769927797</v>
      </c>
      <c r="J114" s="505">
        <f t="shared" si="26"/>
        <v>0</v>
      </c>
      <c r="K114" s="505"/>
      <c r="L114" s="513"/>
      <c r="M114" s="505">
        <f t="shared" si="21"/>
        <v>0</v>
      </c>
      <c r="N114" s="513"/>
      <c r="O114" s="505">
        <f t="shared" si="23"/>
        <v>0</v>
      </c>
      <c r="P114" s="505">
        <f t="shared" si="24"/>
        <v>0</v>
      </c>
      <c r="Q114" s="244"/>
      <c r="R114" s="244"/>
      <c r="S114" s="244"/>
      <c r="T114" s="244"/>
      <c r="U114" s="244"/>
    </row>
    <row r="115" spans="2:21" ht="12.5">
      <c r="B115" s="145" t="str">
        <f t="shared" si="19"/>
        <v/>
      </c>
      <c r="C115" s="496">
        <f>IF(D94="","-",+C114+1)</f>
        <v>2026</v>
      </c>
      <c r="D115" s="350">
        <f>IF(F114+SUM(E$100:E114)=D$93,F114,D$93-SUM(E$100:E114))</f>
        <v>6628282.2272545779</v>
      </c>
      <c r="E115" s="510">
        <f>IF(+J97&lt;F114,J97,D115)</f>
        <v>394222.57142857142</v>
      </c>
      <c r="F115" s="511">
        <f t="shared" si="29"/>
        <v>6234059.6558260061</v>
      </c>
      <c r="G115" s="511">
        <f t="shared" si="30"/>
        <v>6431170.9415402915</v>
      </c>
      <c r="H115" s="646">
        <f t="shared" si="32"/>
        <v>1078585.973793996</v>
      </c>
      <c r="I115" s="573">
        <f t="shared" si="31"/>
        <v>1078585.973793996</v>
      </c>
      <c r="J115" s="505">
        <f t="shared" si="26"/>
        <v>0</v>
      </c>
      <c r="K115" s="505"/>
      <c r="L115" s="513"/>
      <c r="M115" s="505">
        <f t="shared" si="21"/>
        <v>0</v>
      </c>
      <c r="N115" s="513"/>
      <c r="O115" s="505">
        <f t="shared" si="23"/>
        <v>0</v>
      </c>
      <c r="P115" s="505">
        <f t="shared" si="24"/>
        <v>0</v>
      </c>
      <c r="Q115" s="244"/>
      <c r="R115" s="244"/>
      <c r="S115" s="244"/>
      <c r="T115" s="244"/>
      <c r="U115" s="244"/>
    </row>
    <row r="116" spans="2:21" ht="12.5">
      <c r="B116" s="145" t="str">
        <f t="shared" si="19"/>
        <v/>
      </c>
      <c r="C116" s="496">
        <f>IF(D94="","-",+C115+1)</f>
        <v>2027</v>
      </c>
      <c r="D116" s="350">
        <f>IF(F115+SUM(E$100:E115)=D$93,F115,D$93-SUM(E$100:E115))</f>
        <v>6234059.6558260061</v>
      </c>
      <c r="E116" s="510">
        <f>IF(+J97&lt;F115,J97,D116)</f>
        <v>394222.57142857142</v>
      </c>
      <c r="F116" s="511">
        <f t="shared" si="29"/>
        <v>5839837.0843974343</v>
      </c>
      <c r="G116" s="511">
        <f t="shared" si="30"/>
        <v>6036948.3701117206</v>
      </c>
      <c r="H116" s="646">
        <f t="shared" si="32"/>
        <v>1036635.3705952126</v>
      </c>
      <c r="I116" s="573">
        <f t="shared" si="31"/>
        <v>1036635.3705952126</v>
      </c>
      <c r="J116" s="505">
        <f t="shared" si="26"/>
        <v>0</v>
      </c>
      <c r="K116" s="505"/>
      <c r="L116" s="513"/>
      <c r="M116" s="505">
        <f t="shared" si="21"/>
        <v>0</v>
      </c>
      <c r="N116" s="513"/>
      <c r="O116" s="505">
        <f t="shared" si="23"/>
        <v>0</v>
      </c>
      <c r="P116" s="505">
        <f t="shared" si="24"/>
        <v>0</v>
      </c>
      <c r="Q116" s="244"/>
      <c r="R116" s="244"/>
      <c r="S116" s="244"/>
      <c r="T116" s="244"/>
      <c r="U116" s="244"/>
    </row>
    <row r="117" spans="2:21" ht="12.5">
      <c r="B117" s="145" t="str">
        <f t="shared" si="19"/>
        <v/>
      </c>
      <c r="C117" s="496">
        <f>IF(D94="","-",+C116+1)</f>
        <v>2028</v>
      </c>
      <c r="D117" s="350">
        <f>IF(F116+SUM(E$100:E116)=D$93,F116,D$93-SUM(E$100:E116))</f>
        <v>5839837.0843974343</v>
      </c>
      <c r="E117" s="510">
        <f>IF(+J97&lt;F116,J97,D117)</f>
        <v>394222.57142857142</v>
      </c>
      <c r="F117" s="511">
        <f t="shared" si="29"/>
        <v>5445614.5129688624</v>
      </c>
      <c r="G117" s="511">
        <f t="shared" si="30"/>
        <v>5642725.7986831479</v>
      </c>
      <c r="H117" s="646">
        <f t="shared" si="32"/>
        <v>994684.76739642886</v>
      </c>
      <c r="I117" s="573">
        <f t="shared" si="31"/>
        <v>994684.76739642886</v>
      </c>
      <c r="J117" s="505">
        <f t="shared" si="26"/>
        <v>0</v>
      </c>
      <c r="K117" s="505"/>
      <c r="L117" s="513"/>
      <c r="M117" s="505">
        <f t="shared" si="21"/>
        <v>0</v>
      </c>
      <c r="N117" s="513"/>
      <c r="O117" s="505">
        <f t="shared" si="23"/>
        <v>0</v>
      </c>
      <c r="P117" s="505">
        <f t="shared" si="24"/>
        <v>0</v>
      </c>
      <c r="Q117" s="244"/>
      <c r="R117" s="244"/>
      <c r="S117" s="244"/>
      <c r="T117" s="244"/>
      <c r="U117" s="244"/>
    </row>
    <row r="118" spans="2:21" ht="12.5">
      <c r="B118" s="145" t="str">
        <f t="shared" si="19"/>
        <v/>
      </c>
      <c r="C118" s="496">
        <f>IF(D94="","-",+C117+1)</f>
        <v>2029</v>
      </c>
      <c r="D118" s="350">
        <f>IF(F117+SUM(E$100:E117)=D$93,F117,D$93-SUM(E$100:E117))</f>
        <v>5445614.5129688624</v>
      </c>
      <c r="E118" s="510">
        <f>IF(+J97&lt;F117,J97,D118)</f>
        <v>394222.57142857142</v>
      </c>
      <c r="F118" s="511">
        <f t="shared" si="29"/>
        <v>5051391.9415402906</v>
      </c>
      <c r="G118" s="511">
        <f t="shared" si="30"/>
        <v>5248503.227254577</v>
      </c>
      <c r="H118" s="646">
        <f t="shared" si="32"/>
        <v>952734.16419764538</v>
      </c>
      <c r="I118" s="573">
        <f t="shared" si="31"/>
        <v>952734.16419764538</v>
      </c>
      <c r="J118" s="505">
        <f t="shared" si="26"/>
        <v>0</v>
      </c>
      <c r="K118" s="505"/>
      <c r="L118" s="513"/>
      <c r="M118" s="505">
        <f t="shared" si="21"/>
        <v>0</v>
      </c>
      <c r="N118" s="513"/>
      <c r="O118" s="505">
        <f t="shared" si="23"/>
        <v>0</v>
      </c>
      <c r="P118" s="505">
        <f t="shared" si="24"/>
        <v>0</v>
      </c>
      <c r="Q118" s="244"/>
      <c r="R118" s="244"/>
      <c r="S118" s="244"/>
      <c r="T118" s="244"/>
      <c r="U118" s="244"/>
    </row>
    <row r="119" spans="2:21" ht="12.5">
      <c r="B119" s="145" t="str">
        <f t="shared" si="19"/>
        <v/>
      </c>
      <c r="C119" s="496">
        <f>IF(D94="","-",+C118+1)</f>
        <v>2030</v>
      </c>
      <c r="D119" s="350">
        <f>IF(F118+SUM(E$100:E118)=D$93,F118,D$93-SUM(E$100:E118))</f>
        <v>5051391.9415402906</v>
      </c>
      <c r="E119" s="510">
        <f>IF(+J97&lt;F118,J97,D119)</f>
        <v>394222.57142857142</v>
      </c>
      <c r="F119" s="511">
        <f t="shared" si="29"/>
        <v>4657169.3701117188</v>
      </c>
      <c r="G119" s="511">
        <f t="shared" si="30"/>
        <v>4854280.6558260042</v>
      </c>
      <c r="H119" s="646">
        <f t="shared" si="32"/>
        <v>910783.56099886179</v>
      </c>
      <c r="I119" s="573">
        <f t="shared" si="31"/>
        <v>910783.56099886179</v>
      </c>
      <c r="J119" s="505">
        <f t="shared" si="26"/>
        <v>0</v>
      </c>
      <c r="K119" s="505"/>
      <c r="L119" s="513"/>
      <c r="M119" s="505">
        <f t="shared" si="21"/>
        <v>0</v>
      </c>
      <c r="N119" s="513"/>
      <c r="O119" s="505">
        <f t="shared" si="23"/>
        <v>0</v>
      </c>
      <c r="P119" s="505">
        <f t="shared" si="24"/>
        <v>0</v>
      </c>
      <c r="Q119" s="244"/>
      <c r="R119" s="244"/>
      <c r="S119" s="244"/>
      <c r="T119" s="244"/>
      <c r="U119" s="244"/>
    </row>
    <row r="120" spans="2:21" ht="12.5">
      <c r="B120" s="145" t="str">
        <f t="shared" si="19"/>
        <v/>
      </c>
      <c r="C120" s="496">
        <f>IF(D94="","-",+C119+1)</f>
        <v>2031</v>
      </c>
      <c r="D120" s="350">
        <f>IF(F119+SUM(E$100:E119)=D$93,F119,D$93-SUM(E$100:E119))</f>
        <v>4657169.3701117188</v>
      </c>
      <c r="E120" s="510">
        <f>IF(+J97&lt;F119,J97,D120)</f>
        <v>394222.57142857142</v>
      </c>
      <c r="F120" s="511">
        <f t="shared" si="29"/>
        <v>4262946.7986831469</v>
      </c>
      <c r="G120" s="511">
        <f t="shared" si="30"/>
        <v>4460058.0843974333</v>
      </c>
      <c r="H120" s="646">
        <f t="shared" si="32"/>
        <v>868832.95780007832</v>
      </c>
      <c r="I120" s="573">
        <f t="shared" si="31"/>
        <v>868832.95780007832</v>
      </c>
      <c r="J120" s="505">
        <f t="shared" si="26"/>
        <v>0</v>
      </c>
      <c r="K120" s="505"/>
      <c r="L120" s="513"/>
      <c r="M120" s="505">
        <f t="shared" si="21"/>
        <v>0</v>
      </c>
      <c r="N120" s="513"/>
      <c r="O120" s="505">
        <f t="shared" si="23"/>
        <v>0</v>
      </c>
      <c r="P120" s="505">
        <f t="shared" si="24"/>
        <v>0</v>
      </c>
      <c r="Q120" s="244"/>
      <c r="R120" s="244"/>
      <c r="S120" s="244"/>
      <c r="T120" s="244"/>
      <c r="U120" s="244"/>
    </row>
    <row r="121" spans="2:21" ht="12.5">
      <c r="B121" s="145" t="str">
        <f t="shared" si="19"/>
        <v/>
      </c>
      <c r="C121" s="496">
        <f>IF(D94="","-",+C120+1)</f>
        <v>2032</v>
      </c>
      <c r="D121" s="350">
        <f>IF(F120+SUM(E$100:E120)=D$93,F120,D$93-SUM(E$100:E120))</f>
        <v>4262946.7986831469</v>
      </c>
      <c r="E121" s="510">
        <f>IF(+J97&lt;F120,J97,D121)</f>
        <v>394222.57142857142</v>
      </c>
      <c r="F121" s="511">
        <f t="shared" si="29"/>
        <v>3868724.2272545756</v>
      </c>
      <c r="G121" s="511">
        <f t="shared" si="30"/>
        <v>4065835.5129688615</v>
      </c>
      <c r="H121" s="646">
        <f t="shared" si="32"/>
        <v>826882.35460129473</v>
      </c>
      <c r="I121" s="573">
        <f t="shared" si="31"/>
        <v>826882.35460129473</v>
      </c>
      <c r="J121" s="505">
        <f t="shared" si="26"/>
        <v>0</v>
      </c>
      <c r="K121" s="505"/>
      <c r="L121" s="513"/>
      <c r="M121" s="505">
        <f t="shared" si="21"/>
        <v>0</v>
      </c>
      <c r="N121" s="513"/>
      <c r="O121" s="505">
        <f t="shared" si="23"/>
        <v>0</v>
      </c>
      <c r="P121" s="505">
        <f t="shared" si="24"/>
        <v>0</v>
      </c>
      <c r="Q121" s="244"/>
      <c r="R121" s="244"/>
      <c r="S121" s="244"/>
      <c r="T121" s="244"/>
      <c r="U121" s="244"/>
    </row>
    <row r="122" spans="2:21" ht="12.5">
      <c r="B122" s="145" t="str">
        <f t="shared" si="19"/>
        <v/>
      </c>
      <c r="C122" s="496">
        <f>IF(D94="","-",+C121+1)</f>
        <v>2033</v>
      </c>
      <c r="D122" s="350">
        <f>IF(F121+SUM(E$100:E121)=D$93,F121,D$93-SUM(E$100:E121))</f>
        <v>3868724.2272545756</v>
      </c>
      <c r="E122" s="510">
        <f>IF(+J97&lt;F121,J97,D122)</f>
        <v>394222.57142857142</v>
      </c>
      <c r="F122" s="511">
        <f t="shared" si="29"/>
        <v>3474501.6558260042</v>
      </c>
      <c r="G122" s="511">
        <f t="shared" si="30"/>
        <v>3671612.9415402897</v>
      </c>
      <c r="H122" s="646">
        <f t="shared" si="32"/>
        <v>784931.75140251126</v>
      </c>
      <c r="I122" s="573">
        <f t="shared" si="31"/>
        <v>784931.75140251126</v>
      </c>
      <c r="J122" s="505">
        <f t="shared" si="26"/>
        <v>0</v>
      </c>
      <c r="K122" s="505"/>
      <c r="L122" s="513"/>
      <c r="M122" s="505">
        <f t="shared" si="21"/>
        <v>0</v>
      </c>
      <c r="N122" s="513"/>
      <c r="O122" s="505">
        <f t="shared" si="23"/>
        <v>0</v>
      </c>
      <c r="P122" s="505">
        <f t="shared" si="24"/>
        <v>0</v>
      </c>
      <c r="Q122" s="244"/>
      <c r="R122" s="244"/>
      <c r="S122" s="244"/>
      <c r="T122" s="244"/>
      <c r="U122" s="244"/>
    </row>
    <row r="123" spans="2:21" ht="12.5">
      <c r="B123" s="145" t="str">
        <f t="shared" si="19"/>
        <v/>
      </c>
      <c r="C123" s="496">
        <f>IF(D94="","-",+C122+1)</f>
        <v>2034</v>
      </c>
      <c r="D123" s="350">
        <f>IF(F122+SUM(E$100:E122)=D$93,F122,D$93-SUM(E$100:E122))</f>
        <v>3474501.6558260042</v>
      </c>
      <c r="E123" s="510">
        <f>IF(+J97&lt;F122,J97,D123)</f>
        <v>394222.57142857142</v>
      </c>
      <c r="F123" s="511">
        <f t="shared" si="29"/>
        <v>3080279.0843974329</v>
      </c>
      <c r="G123" s="511">
        <f t="shared" si="30"/>
        <v>3277390.3701117188</v>
      </c>
      <c r="H123" s="646">
        <f t="shared" si="32"/>
        <v>742981.14820372779</v>
      </c>
      <c r="I123" s="573">
        <f t="shared" si="31"/>
        <v>742981.14820372779</v>
      </c>
      <c r="J123" s="505">
        <f t="shared" si="26"/>
        <v>0</v>
      </c>
      <c r="K123" s="505"/>
      <c r="L123" s="513"/>
      <c r="M123" s="505">
        <f t="shared" si="21"/>
        <v>0</v>
      </c>
      <c r="N123" s="513"/>
      <c r="O123" s="505">
        <f t="shared" si="23"/>
        <v>0</v>
      </c>
      <c r="P123" s="505">
        <f t="shared" si="24"/>
        <v>0</v>
      </c>
      <c r="Q123" s="244"/>
      <c r="R123" s="244"/>
      <c r="S123" s="244"/>
      <c r="T123" s="244"/>
      <c r="U123" s="244"/>
    </row>
    <row r="124" spans="2:21" ht="12.5">
      <c r="B124" s="145" t="str">
        <f t="shared" si="19"/>
        <v/>
      </c>
      <c r="C124" s="496">
        <f>IF(D94="","-",+C123+1)</f>
        <v>2035</v>
      </c>
      <c r="D124" s="350">
        <f>IF(F123+SUM(E$100:E123)=D$93,F123,D$93-SUM(E$100:E123))</f>
        <v>3080279.0843974329</v>
      </c>
      <c r="E124" s="510">
        <f>IF(+J97&lt;F123,J97,D124)</f>
        <v>394222.57142857142</v>
      </c>
      <c r="F124" s="511">
        <f t="shared" si="29"/>
        <v>2686056.5129688615</v>
      </c>
      <c r="G124" s="511">
        <f t="shared" si="30"/>
        <v>2883167.7986831469</v>
      </c>
      <c r="H124" s="646">
        <f t="shared" si="32"/>
        <v>701030.54500494408</v>
      </c>
      <c r="I124" s="573">
        <f t="shared" si="31"/>
        <v>701030.54500494408</v>
      </c>
      <c r="J124" s="505">
        <f t="shared" si="26"/>
        <v>0</v>
      </c>
      <c r="K124" s="505"/>
      <c r="L124" s="513"/>
      <c r="M124" s="505">
        <f t="shared" si="21"/>
        <v>0</v>
      </c>
      <c r="N124" s="513"/>
      <c r="O124" s="505">
        <f t="shared" si="23"/>
        <v>0</v>
      </c>
      <c r="P124" s="505">
        <f t="shared" si="24"/>
        <v>0</v>
      </c>
      <c r="Q124" s="244"/>
      <c r="R124" s="244"/>
      <c r="S124" s="244"/>
      <c r="T124" s="244"/>
      <c r="U124" s="244"/>
    </row>
    <row r="125" spans="2:21" ht="12.5">
      <c r="B125" s="145" t="str">
        <f t="shared" si="19"/>
        <v/>
      </c>
      <c r="C125" s="496">
        <f>IF(D94="","-",+C124+1)</f>
        <v>2036</v>
      </c>
      <c r="D125" s="350">
        <f>IF(F124+SUM(E$100:E124)=D$93,F124,D$93-SUM(E$100:E124))</f>
        <v>2686056.5129688615</v>
      </c>
      <c r="E125" s="510">
        <f>IF(+J97&lt;F124,J97,D125)</f>
        <v>394222.57142857142</v>
      </c>
      <c r="F125" s="511">
        <f t="shared" si="29"/>
        <v>2291833.9415402901</v>
      </c>
      <c r="G125" s="511">
        <f t="shared" si="30"/>
        <v>2488945.227254576</v>
      </c>
      <c r="H125" s="646">
        <f t="shared" si="32"/>
        <v>659079.94180616073</v>
      </c>
      <c r="I125" s="573">
        <f t="shared" si="31"/>
        <v>659079.94180616073</v>
      </c>
      <c r="J125" s="505">
        <f t="shared" si="26"/>
        <v>0</v>
      </c>
      <c r="K125" s="505"/>
      <c r="L125" s="513"/>
      <c r="M125" s="505">
        <f t="shared" si="21"/>
        <v>0</v>
      </c>
      <c r="N125" s="513"/>
      <c r="O125" s="505">
        <f t="shared" si="23"/>
        <v>0</v>
      </c>
      <c r="P125" s="505">
        <f t="shared" si="24"/>
        <v>0</v>
      </c>
      <c r="Q125" s="244"/>
      <c r="R125" s="244"/>
      <c r="S125" s="244"/>
      <c r="T125" s="244"/>
      <c r="U125" s="244"/>
    </row>
    <row r="126" spans="2:21" ht="12.5">
      <c r="B126" s="145" t="str">
        <f t="shared" si="19"/>
        <v/>
      </c>
      <c r="C126" s="496">
        <f>IF(D94="","-",+C125+1)</f>
        <v>2037</v>
      </c>
      <c r="D126" s="350">
        <f>IF(F125+SUM(E$100:E125)=D$93,F125,D$93-SUM(E$100:E125))</f>
        <v>2291833.9415402901</v>
      </c>
      <c r="E126" s="510">
        <f>IF(+J97&lt;F125,J97,D126)</f>
        <v>394222.57142857142</v>
      </c>
      <c r="F126" s="511">
        <f t="shared" si="29"/>
        <v>1897611.3701117188</v>
      </c>
      <c r="G126" s="511">
        <f t="shared" si="30"/>
        <v>2094722.6558260045</v>
      </c>
      <c r="H126" s="646">
        <f t="shared" si="32"/>
        <v>617129.33860737714</v>
      </c>
      <c r="I126" s="573">
        <f t="shared" si="31"/>
        <v>617129.33860737714</v>
      </c>
      <c r="J126" s="505">
        <f t="shared" si="26"/>
        <v>0</v>
      </c>
      <c r="K126" s="505"/>
      <c r="L126" s="513"/>
      <c r="M126" s="505">
        <f t="shared" si="21"/>
        <v>0</v>
      </c>
      <c r="N126" s="513"/>
      <c r="O126" s="505">
        <f t="shared" si="23"/>
        <v>0</v>
      </c>
      <c r="P126" s="505">
        <f t="shared" si="24"/>
        <v>0</v>
      </c>
      <c r="Q126" s="244"/>
      <c r="R126" s="244"/>
      <c r="S126" s="244"/>
      <c r="T126" s="244"/>
      <c r="U126" s="244"/>
    </row>
    <row r="127" spans="2:21" ht="12.5">
      <c r="B127" s="145" t="str">
        <f t="shared" si="19"/>
        <v/>
      </c>
      <c r="C127" s="496">
        <f>IF(D94="","-",+C126+1)</f>
        <v>2038</v>
      </c>
      <c r="D127" s="350">
        <f>IF(F126+SUM(E$100:E126)=D$93,F126,D$93-SUM(E$100:E126))</f>
        <v>1897611.3701117188</v>
      </c>
      <c r="E127" s="510">
        <f>IF(+J97&lt;F126,J97,D127)</f>
        <v>394222.57142857142</v>
      </c>
      <c r="F127" s="511">
        <f t="shared" si="29"/>
        <v>1503388.7986831474</v>
      </c>
      <c r="G127" s="511">
        <f t="shared" si="30"/>
        <v>1700500.0843974331</v>
      </c>
      <c r="H127" s="646">
        <f t="shared" si="32"/>
        <v>575178.73540859367</v>
      </c>
      <c r="I127" s="573">
        <f t="shared" si="31"/>
        <v>575178.73540859367</v>
      </c>
      <c r="J127" s="505">
        <f t="shared" si="26"/>
        <v>0</v>
      </c>
      <c r="K127" s="505"/>
      <c r="L127" s="513"/>
      <c r="M127" s="505">
        <f t="shared" si="21"/>
        <v>0</v>
      </c>
      <c r="N127" s="513"/>
      <c r="O127" s="505">
        <f t="shared" si="23"/>
        <v>0</v>
      </c>
      <c r="P127" s="505">
        <f t="shared" si="24"/>
        <v>0</v>
      </c>
      <c r="Q127" s="244"/>
      <c r="R127" s="244"/>
      <c r="S127" s="244"/>
      <c r="T127" s="244"/>
      <c r="U127" s="244"/>
    </row>
    <row r="128" spans="2:21" ht="12.5">
      <c r="B128" s="145" t="str">
        <f t="shared" si="19"/>
        <v/>
      </c>
      <c r="C128" s="496">
        <f>IF(D94="","-",+C127+1)</f>
        <v>2039</v>
      </c>
      <c r="D128" s="350">
        <f>IF(F127+SUM(E$100:E127)=D$93,F127,D$93-SUM(E$100:E127))</f>
        <v>1503388.7986831474</v>
      </c>
      <c r="E128" s="510">
        <f>IF(+J97&lt;F127,J97,D128)</f>
        <v>394222.57142857142</v>
      </c>
      <c r="F128" s="511">
        <f t="shared" si="29"/>
        <v>1109166.227254576</v>
      </c>
      <c r="G128" s="511">
        <f t="shared" si="30"/>
        <v>1306277.5129688617</v>
      </c>
      <c r="H128" s="646">
        <f t="shared" si="32"/>
        <v>533228.1322098102</v>
      </c>
      <c r="I128" s="573">
        <f t="shared" si="31"/>
        <v>533228.1322098102</v>
      </c>
      <c r="J128" s="505">
        <f t="shared" si="26"/>
        <v>0</v>
      </c>
      <c r="K128" s="505"/>
      <c r="L128" s="513"/>
      <c r="M128" s="505">
        <f t="shared" si="21"/>
        <v>0</v>
      </c>
      <c r="N128" s="513"/>
      <c r="O128" s="505">
        <f t="shared" si="23"/>
        <v>0</v>
      </c>
      <c r="P128" s="505">
        <f t="shared" si="24"/>
        <v>0</v>
      </c>
      <c r="Q128" s="244"/>
      <c r="R128" s="244"/>
      <c r="S128" s="244"/>
      <c r="T128" s="244"/>
      <c r="U128" s="244"/>
    </row>
    <row r="129" spans="2:21" ht="12.5">
      <c r="B129" s="145" t="str">
        <f t="shared" si="19"/>
        <v/>
      </c>
      <c r="C129" s="496">
        <f>IF(D94="","-",+C128+1)</f>
        <v>2040</v>
      </c>
      <c r="D129" s="350">
        <f>IF(F128+SUM(E$100:E128)=D$93,F128,D$93-SUM(E$100:E128))</f>
        <v>1109166.227254576</v>
      </c>
      <c r="E129" s="510">
        <f>IF(+J97&lt;F128,J97,D129)</f>
        <v>394222.57142857142</v>
      </c>
      <c r="F129" s="511">
        <f t="shared" si="29"/>
        <v>714943.65582600469</v>
      </c>
      <c r="G129" s="511">
        <f t="shared" si="30"/>
        <v>912054.94154029037</v>
      </c>
      <c r="H129" s="646">
        <f t="shared" si="32"/>
        <v>491277.52901102661</v>
      </c>
      <c r="I129" s="573">
        <f t="shared" si="31"/>
        <v>491277.52901102661</v>
      </c>
      <c r="J129" s="505">
        <f t="shared" si="26"/>
        <v>0</v>
      </c>
      <c r="K129" s="505"/>
      <c r="L129" s="513"/>
      <c r="M129" s="505">
        <f t="shared" si="21"/>
        <v>0</v>
      </c>
      <c r="N129" s="513"/>
      <c r="O129" s="505">
        <f t="shared" si="23"/>
        <v>0</v>
      </c>
      <c r="P129" s="505">
        <f t="shared" si="24"/>
        <v>0</v>
      </c>
      <c r="Q129" s="244"/>
      <c r="R129" s="244"/>
      <c r="S129" s="244"/>
      <c r="T129" s="244"/>
      <c r="U129" s="244"/>
    </row>
    <row r="130" spans="2:21" ht="12.5">
      <c r="B130" s="145" t="str">
        <f t="shared" si="19"/>
        <v/>
      </c>
      <c r="C130" s="496">
        <f>IF(D94="","-",+C129+1)</f>
        <v>2041</v>
      </c>
      <c r="D130" s="350">
        <f>IF(F129+SUM(E$100:E129)=D$93,F129,D$93-SUM(E$100:E129))</f>
        <v>714943.65582600469</v>
      </c>
      <c r="E130" s="510">
        <f>IF(+J97&lt;F129,J97,D130)</f>
        <v>394222.57142857142</v>
      </c>
      <c r="F130" s="511">
        <f t="shared" si="29"/>
        <v>320721.08439743327</v>
      </c>
      <c r="G130" s="511">
        <f t="shared" si="30"/>
        <v>517832.37011171901</v>
      </c>
      <c r="H130" s="646">
        <f t="shared" si="32"/>
        <v>449326.92581224313</v>
      </c>
      <c r="I130" s="573">
        <f t="shared" si="31"/>
        <v>449326.92581224313</v>
      </c>
      <c r="J130" s="505">
        <f t="shared" si="26"/>
        <v>0</v>
      </c>
      <c r="K130" s="505"/>
      <c r="L130" s="513"/>
      <c r="M130" s="505">
        <f t="shared" si="21"/>
        <v>0</v>
      </c>
      <c r="N130" s="513"/>
      <c r="O130" s="505">
        <f t="shared" si="23"/>
        <v>0</v>
      </c>
      <c r="P130" s="505">
        <f t="shared" si="24"/>
        <v>0</v>
      </c>
      <c r="Q130" s="244"/>
      <c r="R130" s="244"/>
      <c r="S130" s="244"/>
      <c r="T130" s="244"/>
      <c r="U130" s="244"/>
    </row>
    <row r="131" spans="2:21" ht="12.5">
      <c r="B131" s="145" t="str">
        <f t="shared" si="19"/>
        <v/>
      </c>
      <c r="C131" s="496">
        <f>IF(D94="","-",+C130+1)</f>
        <v>2042</v>
      </c>
      <c r="D131" s="350">
        <f>IF(F130+SUM(E$100:E130)=D$93,F130,D$93-SUM(E$100:E130))</f>
        <v>320721.08439743327</v>
      </c>
      <c r="E131" s="510">
        <f>IF(+J97&lt;F130,J97,D131)</f>
        <v>320721.08439743327</v>
      </c>
      <c r="F131" s="511">
        <f t="shared" si="29"/>
        <v>0</v>
      </c>
      <c r="G131" s="511">
        <f t="shared" si="30"/>
        <v>160360.54219871663</v>
      </c>
      <c r="H131" s="646">
        <f t="shared" si="32"/>
        <v>337785.61078957323</v>
      </c>
      <c r="I131" s="573">
        <f t="shared" si="31"/>
        <v>337785.61078957323</v>
      </c>
      <c r="J131" s="505">
        <f t="shared" si="26"/>
        <v>0</v>
      </c>
      <c r="K131" s="505"/>
      <c r="L131" s="513"/>
      <c r="M131" s="505">
        <f t="shared" si="21"/>
        <v>0</v>
      </c>
      <c r="N131" s="513"/>
      <c r="O131" s="505">
        <f t="shared" si="23"/>
        <v>0</v>
      </c>
      <c r="P131" s="505">
        <f t="shared" si="24"/>
        <v>0</v>
      </c>
      <c r="Q131" s="244"/>
      <c r="R131" s="244"/>
      <c r="S131" s="244"/>
      <c r="T131" s="244"/>
      <c r="U131" s="244"/>
    </row>
    <row r="132" spans="2:21" ht="12.5">
      <c r="B132" s="145" t="str">
        <f t="shared" ref="B132:B155" si="33">IF(D132=F131,"","IU")</f>
        <v/>
      </c>
      <c r="C132" s="496">
        <f>IF(D94="","-",+C131+1)</f>
        <v>2043</v>
      </c>
      <c r="D132" s="350">
        <f>IF(F131+SUM(E$100:E131)=D$93,F131,D$93-SUM(E$100:E131))</f>
        <v>0</v>
      </c>
      <c r="E132" s="510">
        <f>IF(+J97&lt;F131,J97,D132)</f>
        <v>0</v>
      </c>
      <c r="F132" s="511">
        <f t="shared" si="29"/>
        <v>0</v>
      </c>
      <c r="G132" s="511">
        <f t="shared" ref="G132:G155" si="34">+(F132+D132)/2</f>
        <v>0</v>
      </c>
      <c r="H132" s="646">
        <f t="shared" si="32"/>
        <v>0</v>
      </c>
      <c r="I132" s="573">
        <f t="shared" ref="I132:I155" si="35">+J$96*G132+E132</f>
        <v>0</v>
      </c>
      <c r="J132" s="505">
        <f t="shared" ref="J132:J155" si="36">+I132-H132</f>
        <v>0</v>
      </c>
      <c r="K132" s="505"/>
      <c r="L132" s="513"/>
      <c r="M132" s="505">
        <f t="shared" ref="M132:M155" si="37">IF(L132&lt;&gt;0,+H132-L132,0)</f>
        <v>0</v>
      </c>
      <c r="N132" s="513"/>
      <c r="O132" s="505">
        <f t="shared" ref="O132:O155" si="38">IF(N132&lt;&gt;0,+I132-N132,0)</f>
        <v>0</v>
      </c>
      <c r="P132" s="505">
        <f t="shared" ref="P132:P155" si="39">+O132-M132</f>
        <v>0</v>
      </c>
      <c r="Q132" s="244"/>
      <c r="R132" s="244"/>
      <c r="S132" s="244"/>
      <c r="T132" s="244"/>
      <c r="U132" s="244"/>
    </row>
    <row r="133" spans="2:21" ht="12.5">
      <c r="B133" s="145" t="str">
        <f t="shared" si="33"/>
        <v/>
      </c>
      <c r="C133" s="496">
        <f>IF(D94="","-",+C132+1)</f>
        <v>2044</v>
      </c>
      <c r="D133" s="350">
        <f>IF(F132+SUM(E$100:E132)=D$93,F132,D$93-SUM(E$100:E132))</f>
        <v>0</v>
      </c>
      <c r="E133" s="510">
        <f>IF(+J97&lt;F132,J97,D133)</f>
        <v>0</v>
      </c>
      <c r="F133" s="511">
        <f t="shared" ref="F133:F155" si="40">+D133-E133</f>
        <v>0</v>
      </c>
      <c r="G133" s="511">
        <f t="shared" si="34"/>
        <v>0</v>
      </c>
      <c r="H133" s="646">
        <f t="shared" si="32"/>
        <v>0</v>
      </c>
      <c r="I133" s="573">
        <f t="shared" si="35"/>
        <v>0</v>
      </c>
      <c r="J133" s="505">
        <f t="shared" si="36"/>
        <v>0</v>
      </c>
      <c r="K133" s="505"/>
      <c r="L133" s="513"/>
      <c r="M133" s="505">
        <f t="shared" si="37"/>
        <v>0</v>
      </c>
      <c r="N133" s="513"/>
      <c r="O133" s="505">
        <f t="shared" si="38"/>
        <v>0</v>
      </c>
      <c r="P133" s="505">
        <f t="shared" si="39"/>
        <v>0</v>
      </c>
      <c r="Q133" s="244"/>
      <c r="R133" s="244"/>
      <c r="S133" s="244"/>
      <c r="T133" s="244"/>
      <c r="U133" s="244"/>
    </row>
    <row r="134" spans="2:21" ht="12.5">
      <c r="B134" s="145" t="str">
        <f t="shared" si="33"/>
        <v/>
      </c>
      <c r="C134" s="496">
        <f>IF(D94="","-",+C133+1)</f>
        <v>2045</v>
      </c>
      <c r="D134" s="350">
        <f>IF(F133+SUM(E$100:E133)=D$93,F133,D$93-SUM(E$100:E133))</f>
        <v>0</v>
      </c>
      <c r="E134" s="510">
        <f>IF(+J97&lt;F133,J97,D134)</f>
        <v>0</v>
      </c>
      <c r="F134" s="511">
        <f t="shared" si="40"/>
        <v>0</v>
      </c>
      <c r="G134" s="511">
        <f t="shared" si="34"/>
        <v>0</v>
      </c>
      <c r="H134" s="646">
        <f t="shared" si="32"/>
        <v>0</v>
      </c>
      <c r="I134" s="573">
        <f t="shared" si="35"/>
        <v>0</v>
      </c>
      <c r="J134" s="505">
        <f t="shared" si="36"/>
        <v>0</v>
      </c>
      <c r="K134" s="505"/>
      <c r="L134" s="513"/>
      <c r="M134" s="505">
        <f t="shared" si="37"/>
        <v>0</v>
      </c>
      <c r="N134" s="513"/>
      <c r="O134" s="505">
        <f t="shared" si="38"/>
        <v>0</v>
      </c>
      <c r="P134" s="505">
        <f t="shared" si="39"/>
        <v>0</v>
      </c>
      <c r="Q134" s="244"/>
      <c r="R134" s="244"/>
      <c r="S134" s="244"/>
      <c r="T134" s="244"/>
      <c r="U134" s="244"/>
    </row>
    <row r="135" spans="2:21" ht="12.5">
      <c r="B135" s="145" t="str">
        <f t="shared" si="33"/>
        <v/>
      </c>
      <c r="C135" s="496">
        <f>IF(D94="","-",+C134+1)</f>
        <v>2046</v>
      </c>
      <c r="D135" s="350">
        <f>IF(F134+SUM(E$100:E134)=D$93,F134,D$93-SUM(E$100:E134))</f>
        <v>0</v>
      </c>
      <c r="E135" s="510">
        <f>IF(+J97&lt;F134,J97,D135)</f>
        <v>0</v>
      </c>
      <c r="F135" s="511">
        <f t="shared" si="40"/>
        <v>0</v>
      </c>
      <c r="G135" s="511">
        <f t="shared" si="34"/>
        <v>0</v>
      </c>
      <c r="H135" s="646">
        <f t="shared" si="32"/>
        <v>0</v>
      </c>
      <c r="I135" s="573">
        <f t="shared" si="35"/>
        <v>0</v>
      </c>
      <c r="J135" s="505">
        <f t="shared" si="36"/>
        <v>0</v>
      </c>
      <c r="K135" s="505"/>
      <c r="L135" s="513"/>
      <c r="M135" s="505">
        <f t="shared" si="37"/>
        <v>0</v>
      </c>
      <c r="N135" s="513"/>
      <c r="O135" s="505">
        <f t="shared" si="38"/>
        <v>0</v>
      </c>
      <c r="P135" s="505">
        <f t="shared" si="39"/>
        <v>0</v>
      </c>
      <c r="Q135" s="244"/>
      <c r="R135" s="244"/>
      <c r="S135" s="244"/>
      <c r="T135" s="244"/>
      <c r="U135" s="244"/>
    </row>
    <row r="136" spans="2:21" ht="12.5">
      <c r="B136" s="145" t="str">
        <f t="shared" si="33"/>
        <v/>
      </c>
      <c r="C136" s="496">
        <f>IF(D94="","-",+C135+1)</f>
        <v>2047</v>
      </c>
      <c r="D136" s="350">
        <f>IF(F135+SUM(E$100:E135)=D$93,F135,D$93-SUM(E$100:E135))</f>
        <v>0</v>
      </c>
      <c r="E136" s="510">
        <f>IF(+J97&lt;F135,J97,D136)</f>
        <v>0</v>
      </c>
      <c r="F136" s="511">
        <f t="shared" si="40"/>
        <v>0</v>
      </c>
      <c r="G136" s="511">
        <f t="shared" si="34"/>
        <v>0</v>
      </c>
      <c r="H136" s="646">
        <f t="shared" si="32"/>
        <v>0</v>
      </c>
      <c r="I136" s="573">
        <f t="shared" si="35"/>
        <v>0</v>
      </c>
      <c r="J136" s="505">
        <f t="shared" si="36"/>
        <v>0</v>
      </c>
      <c r="K136" s="505"/>
      <c r="L136" s="513"/>
      <c r="M136" s="505">
        <f t="shared" si="37"/>
        <v>0</v>
      </c>
      <c r="N136" s="513"/>
      <c r="O136" s="505">
        <f t="shared" si="38"/>
        <v>0</v>
      </c>
      <c r="P136" s="505">
        <f t="shared" si="39"/>
        <v>0</v>
      </c>
      <c r="Q136" s="244"/>
      <c r="R136" s="244"/>
      <c r="S136" s="244"/>
      <c r="T136" s="244"/>
      <c r="U136" s="244"/>
    </row>
    <row r="137" spans="2:21" ht="12.5">
      <c r="B137" s="145" t="str">
        <f t="shared" si="33"/>
        <v/>
      </c>
      <c r="C137" s="496">
        <f>IF(D94="","-",+C136+1)</f>
        <v>2048</v>
      </c>
      <c r="D137" s="350">
        <f>IF(F136+SUM(E$100:E136)=D$93,F136,D$93-SUM(E$100:E136))</f>
        <v>0</v>
      </c>
      <c r="E137" s="510">
        <f>IF(+J97&lt;F136,J97,D137)</f>
        <v>0</v>
      </c>
      <c r="F137" s="511">
        <f t="shared" si="40"/>
        <v>0</v>
      </c>
      <c r="G137" s="511">
        <f t="shared" si="34"/>
        <v>0</v>
      </c>
      <c r="H137" s="646">
        <f t="shared" si="32"/>
        <v>0</v>
      </c>
      <c r="I137" s="573">
        <f t="shared" si="35"/>
        <v>0</v>
      </c>
      <c r="J137" s="505">
        <f t="shared" si="36"/>
        <v>0</v>
      </c>
      <c r="K137" s="505"/>
      <c r="L137" s="513"/>
      <c r="M137" s="505">
        <f t="shared" si="37"/>
        <v>0</v>
      </c>
      <c r="N137" s="513"/>
      <c r="O137" s="505">
        <f t="shared" si="38"/>
        <v>0</v>
      </c>
      <c r="P137" s="505">
        <f t="shared" si="39"/>
        <v>0</v>
      </c>
      <c r="Q137" s="244"/>
      <c r="R137" s="244"/>
      <c r="S137" s="244"/>
      <c r="T137" s="244"/>
      <c r="U137" s="244"/>
    </row>
    <row r="138" spans="2:21" ht="12.5">
      <c r="B138" s="145" t="str">
        <f t="shared" si="33"/>
        <v/>
      </c>
      <c r="C138" s="496">
        <f>IF(D94="","-",+C137+1)</f>
        <v>2049</v>
      </c>
      <c r="D138" s="350">
        <f>IF(F137+SUM(E$100:E137)=D$93,F137,D$93-SUM(E$100:E137))</f>
        <v>0</v>
      </c>
      <c r="E138" s="510">
        <f>IF(+J97&lt;F137,J97,D138)</f>
        <v>0</v>
      </c>
      <c r="F138" s="511">
        <f t="shared" si="40"/>
        <v>0</v>
      </c>
      <c r="G138" s="511">
        <f t="shared" si="34"/>
        <v>0</v>
      </c>
      <c r="H138" s="646">
        <f t="shared" si="32"/>
        <v>0</v>
      </c>
      <c r="I138" s="573">
        <f t="shared" si="35"/>
        <v>0</v>
      </c>
      <c r="J138" s="505">
        <f t="shared" si="36"/>
        <v>0</v>
      </c>
      <c r="K138" s="505"/>
      <c r="L138" s="513"/>
      <c r="M138" s="505">
        <f t="shared" si="37"/>
        <v>0</v>
      </c>
      <c r="N138" s="513"/>
      <c r="O138" s="505">
        <f t="shared" si="38"/>
        <v>0</v>
      </c>
      <c r="P138" s="505">
        <f t="shared" si="39"/>
        <v>0</v>
      </c>
      <c r="Q138" s="244"/>
      <c r="R138" s="244"/>
      <c r="S138" s="244"/>
      <c r="T138" s="244"/>
      <c r="U138" s="244"/>
    </row>
    <row r="139" spans="2:21" ht="12.5">
      <c r="B139" s="145" t="str">
        <f t="shared" si="33"/>
        <v/>
      </c>
      <c r="C139" s="496">
        <f>IF(D94="","-",+C138+1)</f>
        <v>2050</v>
      </c>
      <c r="D139" s="350">
        <f>IF(F138+SUM(E$100:E138)=D$93,F138,D$93-SUM(E$100:E138))</f>
        <v>0</v>
      </c>
      <c r="E139" s="510">
        <f>IF(+J97&lt;F138,J97,D139)</f>
        <v>0</v>
      </c>
      <c r="F139" s="511">
        <f t="shared" si="40"/>
        <v>0</v>
      </c>
      <c r="G139" s="511">
        <f t="shared" si="34"/>
        <v>0</v>
      </c>
      <c r="H139" s="646">
        <f t="shared" si="32"/>
        <v>0</v>
      </c>
      <c r="I139" s="573">
        <f t="shared" si="35"/>
        <v>0</v>
      </c>
      <c r="J139" s="505">
        <f t="shared" si="36"/>
        <v>0</v>
      </c>
      <c r="K139" s="505"/>
      <c r="L139" s="513"/>
      <c r="M139" s="505">
        <f t="shared" si="37"/>
        <v>0</v>
      </c>
      <c r="N139" s="513"/>
      <c r="O139" s="505">
        <f t="shared" si="38"/>
        <v>0</v>
      </c>
      <c r="P139" s="505">
        <f t="shared" si="39"/>
        <v>0</v>
      </c>
      <c r="Q139" s="244"/>
      <c r="R139" s="244"/>
      <c r="S139" s="244"/>
      <c r="T139" s="244"/>
      <c r="U139" s="244"/>
    </row>
    <row r="140" spans="2:21" ht="12.5">
      <c r="B140" s="145" t="str">
        <f t="shared" si="33"/>
        <v/>
      </c>
      <c r="C140" s="496">
        <f>IF(D94="","-",+C139+1)</f>
        <v>2051</v>
      </c>
      <c r="D140" s="350">
        <f>IF(F139+SUM(E$100:E139)=D$93,F139,D$93-SUM(E$100:E139))</f>
        <v>0</v>
      </c>
      <c r="E140" s="510">
        <f>IF(+J97&lt;F139,J97,D140)</f>
        <v>0</v>
      </c>
      <c r="F140" s="511">
        <f t="shared" si="40"/>
        <v>0</v>
      </c>
      <c r="G140" s="511">
        <f t="shared" si="34"/>
        <v>0</v>
      </c>
      <c r="H140" s="646">
        <f t="shared" si="32"/>
        <v>0</v>
      </c>
      <c r="I140" s="573">
        <f t="shared" si="35"/>
        <v>0</v>
      </c>
      <c r="J140" s="505">
        <f t="shared" si="36"/>
        <v>0</v>
      </c>
      <c r="K140" s="505"/>
      <c r="L140" s="513"/>
      <c r="M140" s="505">
        <f t="shared" si="37"/>
        <v>0</v>
      </c>
      <c r="N140" s="513"/>
      <c r="O140" s="505">
        <f t="shared" si="38"/>
        <v>0</v>
      </c>
      <c r="P140" s="505">
        <f t="shared" si="39"/>
        <v>0</v>
      </c>
      <c r="Q140" s="244"/>
      <c r="R140" s="244"/>
      <c r="S140" s="244"/>
      <c r="T140" s="244"/>
      <c r="U140" s="244"/>
    </row>
    <row r="141" spans="2:21" ht="12.5">
      <c r="B141" s="145" t="str">
        <f t="shared" si="33"/>
        <v/>
      </c>
      <c r="C141" s="496">
        <f>IF(D94="","-",+C140+1)</f>
        <v>2052</v>
      </c>
      <c r="D141" s="350">
        <f>IF(F140+SUM(E$100:E140)=D$93,F140,D$93-SUM(E$100:E140))</f>
        <v>0</v>
      </c>
      <c r="E141" s="510">
        <f>IF(+J97&lt;F140,J97,D141)</f>
        <v>0</v>
      </c>
      <c r="F141" s="511">
        <f t="shared" si="40"/>
        <v>0</v>
      </c>
      <c r="G141" s="511">
        <f t="shared" si="34"/>
        <v>0</v>
      </c>
      <c r="H141" s="646">
        <f t="shared" si="32"/>
        <v>0</v>
      </c>
      <c r="I141" s="573">
        <f t="shared" si="35"/>
        <v>0</v>
      </c>
      <c r="J141" s="505">
        <f t="shared" si="36"/>
        <v>0</v>
      </c>
      <c r="K141" s="505"/>
      <c r="L141" s="513"/>
      <c r="M141" s="505">
        <f t="shared" si="37"/>
        <v>0</v>
      </c>
      <c r="N141" s="513"/>
      <c r="O141" s="505">
        <f t="shared" si="38"/>
        <v>0</v>
      </c>
      <c r="P141" s="505">
        <f t="shared" si="39"/>
        <v>0</v>
      </c>
      <c r="Q141" s="244"/>
      <c r="R141" s="244"/>
      <c r="S141" s="244"/>
      <c r="T141" s="244"/>
      <c r="U141" s="244"/>
    </row>
    <row r="142" spans="2:21" ht="12.5">
      <c r="B142" s="145" t="str">
        <f t="shared" si="33"/>
        <v/>
      </c>
      <c r="C142" s="496">
        <f>IF(D94="","-",+C141+1)</f>
        <v>2053</v>
      </c>
      <c r="D142" s="350">
        <f>IF(F141+SUM(E$100:E141)=D$93,F141,D$93-SUM(E$100:E141))</f>
        <v>0</v>
      </c>
      <c r="E142" s="510">
        <f>IF(+J97&lt;F141,J97,D142)</f>
        <v>0</v>
      </c>
      <c r="F142" s="511">
        <f t="shared" si="40"/>
        <v>0</v>
      </c>
      <c r="G142" s="511">
        <f t="shared" si="34"/>
        <v>0</v>
      </c>
      <c r="H142" s="646">
        <f t="shared" si="32"/>
        <v>0</v>
      </c>
      <c r="I142" s="573">
        <f t="shared" si="35"/>
        <v>0</v>
      </c>
      <c r="J142" s="505">
        <f t="shared" si="36"/>
        <v>0</v>
      </c>
      <c r="K142" s="505"/>
      <c r="L142" s="513"/>
      <c r="M142" s="505">
        <f t="shared" si="37"/>
        <v>0</v>
      </c>
      <c r="N142" s="513"/>
      <c r="O142" s="505">
        <f t="shared" si="38"/>
        <v>0</v>
      </c>
      <c r="P142" s="505">
        <f t="shared" si="39"/>
        <v>0</v>
      </c>
      <c r="Q142" s="244"/>
      <c r="R142" s="244"/>
      <c r="S142" s="244"/>
      <c r="T142" s="244"/>
      <c r="U142" s="244"/>
    </row>
    <row r="143" spans="2:21" ht="12.5">
      <c r="B143" s="145" t="str">
        <f t="shared" si="33"/>
        <v/>
      </c>
      <c r="C143" s="496">
        <f>IF(D94="","-",+C142+1)</f>
        <v>2054</v>
      </c>
      <c r="D143" s="350">
        <f>IF(F142+SUM(E$100:E142)=D$93,F142,D$93-SUM(E$100:E142))</f>
        <v>0</v>
      </c>
      <c r="E143" s="510">
        <f>IF(+J97&lt;F142,J97,D143)</f>
        <v>0</v>
      </c>
      <c r="F143" s="511">
        <f t="shared" si="40"/>
        <v>0</v>
      </c>
      <c r="G143" s="511">
        <f t="shared" si="34"/>
        <v>0</v>
      </c>
      <c r="H143" s="646">
        <f t="shared" si="32"/>
        <v>0</v>
      </c>
      <c r="I143" s="573">
        <f t="shared" si="35"/>
        <v>0</v>
      </c>
      <c r="J143" s="505">
        <f t="shared" si="36"/>
        <v>0</v>
      </c>
      <c r="K143" s="505"/>
      <c r="L143" s="513"/>
      <c r="M143" s="505">
        <f t="shared" si="37"/>
        <v>0</v>
      </c>
      <c r="N143" s="513"/>
      <c r="O143" s="505">
        <f t="shared" si="38"/>
        <v>0</v>
      </c>
      <c r="P143" s="505">
        <f t="shared" si="39"/>
        <v>0</v>
      </c>
      <c r="Q143" s="244"/>
      <c r="R143" s="244"/>
      <c r="S143" s="244"/>
      <c r="T143" s="244"/>
      <c r="U143" s="244"/>
    </row>
    <row r="144" spans="2:21" ht="12.5">
      <c r="B144" s="145" t="str">
        <f t="shared" si="33"/>
        <v/>
      </c>
      <c r="C144" s="496">
        <f>IF(D94="","-",+C143+1)</f>
        <v>2055</v>
      </c>
      <c r="D144" s="350">
        <f>IF(F143+SUM(E$100:E143)=D$93,F143,D$93-SUM(E$100:E143))</f>
        <v>0</v>
      </c>
      <c r="E144" s="510">
        <f>IF(+J97&lt;F143,J97,D144)</f>
        <v>0</v>
      </c>
      <c r="F144" s="511">
        <f t="shared" si="40"/>
        <v>0</v>
      </c>
      <c r="G144" s="511">
        <f t="shared" si="34"/>
        <v>0</v>
      </c>
      <c r="H144" s="646">
        <f t="shared" si="32"/>
        <v>0</v>
      </c>
      <c r="I144" s="573">
        <f t="shared" si="35"/>
        <v>0</v>
      </c>
      <c r="J144" s="505">
        <f t="shared" si="36"/>
        <v>0</v>
      </c>
      <c r="K144" s="505"/>
      <c r="L144" s="513"/>
      <c r="M144" s="505">
        <f t="shared" si="37"/>
        <v>0</v>
      </c>
      <c r="N144" s="513"/>
      <c r="O144" s="505">
        <f t="shared" si="38"/>
        <v>0</v>
      </c>
      <c r="P144" s="505">
        <f t="shared" si="39"/>
        <v>0</v>
      </c>
      <c r="Q144" s="244"/>
      <c r="R144" s="244"/>
      <c r="S144" s="244"/>
      <c r="T144" s="244"/>
      <c r="U144" s="244"/>
    </row>
    <row r="145" spans="2:21" ht="12.5">
      <c r="B145" s="145" t="str">
        <f t="shared" si="33"/>
        <v/>
      </c>
      <c r="C145" s="496">
        <f>IF(D94="","-",+C144+1)</f>
        <v>2056</v>
      </c>
      <c r="D145" s="350">
        <f>IF(F144+SUM(E$100:E144)=D$93,F144,D$93-SUM(E$100:E144))</f>
        <v>0</v>
      </c>
      <c r="E145" s="510">
        <f>IF(+J97&lt;F144,J97,D145)</f>
        <v>0</v>
      </c>
      <c r="F145" s="511">
        <f t="shared" si="40"/>
        <v>0</v>
      </c>
      <c r="G145" s="511">
        <f t="shared" si="34"/>
        <v>0</v>
      </c>
      <c r="H145" s="646">
        <f t="shared" si="32"/>
        <v>0</v>
      </c>
      <c r="I145" s="573">
        <f t="shared" si="35"/>
        <v>0</v>
      </c>
      <c r="J145" s="505">
        <f t="shared" si="36"/>
        <v>0</v>
      </c>
      <c r="K145" s="505"/>
      <c r="L145" s="513"/>
      <c r="M145" s="505">
        <f t="shared" si="37"/>
        <v>0</v>
      </c>
      <c r="N145" s="513"/>
      <c r="O145" s="505">
        <f t="shared" si="38"/>
        <v>0</v>
      </c>
      <c r="P145" s="505">
        <f t="shared" si="39"/>
        <v>0</v>
      </c>
      <c r="Q145" s="244"/>
      <c r="R145" s="244"/>
      <c r="S145" s="244"/>
      <c r="T145" s="244"/>
      <c r="U145" s="244"/>
    </row>
    <row r="146" spans="2:21" ht="12.5">
      <c r="B146" s="145" t="str">
        <f t="shared" si="33"/>
        <v/>
      </c>
      <c r="C146" s="496">
        <f>IF(D94="","-",+C145+1)</f>
        <v>2057</v>
      </c>
      <c r="D146" s="350">
        <f>IF(F145+SUM(E$100:E145)=D$93,F145,D$93-SUM(E$100:E145))</f>
        <v>0</v>
      </c>
      <c r="E146" s="510">
        <f>IF(+J97&lt;F145,J97,D146)</f>
        <v>0</v>
      </c>
      <c r="F146" s="511">
        <f t="shared" si="40"/>
        <v>0</v>
      </c>
      <c r="G146" s="511">
        <f t="shared" si="34"/>
        <v>0</v>
      </c>
      <c r="H146" s="646">
        <f t="shared" si="32"/>
        <v>0</v>
      </c>
      <c r="I146" s="573">
        <f t="shared" si="35"/>
        <v>0</v>
      </c>
      <c r="J146" s="505">
        <f t="shared" si="36"/>
        <v>0</v>
      </c>
      <c r="K146" s="505"/>
      <c r="L146" s="513"/>
      <c r="M146" s="505">
        <f t="shared" si="37"/>
        <v>0</v>
      </c>
      <c r="N146" s="513"/>
      <c r="O146" s="505">
        <f t="shared" si="38"/>
        <v>0</v>
      </c>
      <c r="P146" s="505">
        <f t="shared" si="39"/>
        <v>0</v>
      </c>
      <c r="Q146" s="244"/>
      <c r="R146" s="244"/>
      <c r="S146" s="244"/>
      <c r="T146" s="244"/>
      <c r="U146" s="244"/>
    </row>
    <row r="147" spans="2:21" ht="12.5">
      <c r="B147" s="145" t="str">
        <f t="shared" si="33"/>
        <v/>
      </c>
      <c r="C147" s="496">
        <f>IF(D94="","-",+C146+1)</f>
        <v>2058</v>
      </c>
      <c r="D147" s="350">
        <f>IF(F146+SUM(E$100:E146)=D$93,F146,D$93-SUM(E$100:E146))</f>
        <v>0</v>
      </c>
      <c r="E147" s="510">
        <f>IF(+J97&lt;F146,J97,D147)</f>
        <v>0</v>
      </c>
      <c r="F147" s="511">
        <f t="shared" si="40"/>
        <v>0</v>
      </c>
      <c r="G147" s="511">
        <f t="shared" si="34"/>
        <v>0</v>
      </c>
      <c r="H147" s="646">
        <f t="shared" si="32"/>
        <v>0</v>
      </c>
      <c r="I147" s="573">
        <f t="shared" si="35"/>
        <v>0</v>
      </c>
      <c r="J147" s="505">
        <f t="shared" si="36"/>
        <v>0</v>
      </c>
      <c r="K147" s="505"/>
      <c r="L147" s="513"/>
      <c r="M147" s="505">
        <f t="shared" si="37"/>
        <v>0</v>
      </c>
      <c r="N147" s="513"/>
      <c r="O147" s="505">
        <f t="shared" si="38"/>
        <v>0</v>
      </c>
      <c r="P147" s="505">
        <f t="shared" si="39"/>
        <v>0</v>
      </c>
      <c r="Q147" s="244"/>
      <c r="R147" s="244"/>
      <c r="S147" s="244"/>
      <c r="T147" s="244"/>
      <c r="U147" s="244"/>
    </row>
    <row r="148" spans="2:21" ht="12.5">
      <c r="B148" s="145" t="str">
        <f t="shared" si="33"/>
        <v/>
      </c>
      <c r="C148" s="496">
        <f>IF(D94="","-",+C147+1)</f>
        <v>2059</v>
      </c>
      <c r="D148" s="350">
        <f>IF(F147+SUM(E$100:E147)=D$93,F147,D$93-SUM(E$100:E147))</f>
        <v>0</v>
      </c>
      <c r="E148" s="510">
        <f>IF(+J97&lt;F147,J97,D148)</f>
        <v>0</v>
      </c>
      <c r="F148" s="511">
        <f t="shared" si="40"/>
        <v>0</v>
      </c>
      <c r="G148" s="511">
        <f t="shared" si="34"/>
        <v>0</v>
      </c>
      <c r="H148" s="646">
        <f t="shared" si="32"/>
        <v>0</v>
      </c>
      <c r="I148" s="573">
        <f t="shared" si="35"/>
        <v>0</v>
      </c>
      <c r="J148" s="505">
        <f t="shared" si="36"/>
        <v>0</v>
      </c>
      <c r="K148" s="505"/>
      <c r="L148" s="513"/>
      <c r="M148" s="505">
        <f t="shared" si="37"/>
        <v>0</v>
      </c>
      <c r="N148" s="513"/>
      <c r="O148" s="505">
        <f t="shared" si="38"/>
        <v>0</v>
      </c>
      <c r="P148" s="505">
        <f t="shared" si="39"/>
        <v>0</v>
      </c>
      <c r="Q148" s="244"/>
      <c r="R148" s="244"/>
      <c r="S148" s="244"/>
      <c r="T148" s="244"/>
      <c r="U148" s="244"/>
    </row>
    <row r="149" spans="2:21" ht="12.5">
      <c r="B149" s="145" t="str">
        <f t="shared" si="33"/>
        <v/>
      </c>
      <c r="C149" s="496">
        <f>IF(D94="","-",+C148+1)</f>
        <v>2060</v>
      </c>
      <c r="D149" s="350">
        <f>IF(F148+SUM(E$100:E148)=D$93,F148,D$93-SUM(E$100:E148))</f>
        <v>0</v>
      </c>
      <c r="E149" s="510">
        <f>IF(+J97&lt;F148,J97,D149)</f>
        <v>0</v>
      </c>
      <c r="F149" s="511">
        <f t="shared" si="40"/>
        <v>0</v>
      </c>
      <c r="G149" s="511">
        <f t="shared" si="34"/>
        <v>0</v>
      </c>
      <c r="H149" s="646">
        <f t="shared" si="32"/>
        <v>0</v>
      </c>
      <c r="I149" s="573">
        <f t="shared" si="35"/>
        <v>0</v>
      </c>
      <c r="J149" s="505">
        <f t="shared" si="36"/>
        <v>0</v>
      </c>
      <c r="K149" s="505"/>
      <c r="L149" s="513"/>
      <c r="M149" s="505">
        <f t="shared" si="37"/>
        <v>0</v>
      </c>
      <c r="N149" s="513"/>
      <c r="O149" s="505">
        <f t="shared" si="38"/>
        <v>0</v>
      </c>
      <c r="P149" s="505">
        <f t="shared" si="39"/>
        <v>0</v>
      </c>
      <c r="Q149" s="244"/>
      <c r="R149" s="244"/>
      <c r="S149" s="244"/>
      <c r="T149" s="244"/>
      <c r="U149" s="244"/>
    </row>
    <row r="150" spans="2:21" ht="12.5">
      <c r="B150" s="145" t="str">
        <f t="shared" si="33"/>
        <v/>
      </c>
      <c r="C150" s="496">
        <f>IF(D94="","-",+C149+1)</f>
        <v>2061</v>
      </c>
      <c r="D150" s="350">
        <f>IF(F149+SUM(E$100:E149)=D$93,F149,D$93-SUM(E$100:E149))</f>
        <v>0</v>
      </c>
      <c r="E150" s="510">
        <f>IF(+J97&lt;F149,J97,D150)</f>
        <v>0</v>
      </c>
      <c r="F150" s="511">
        <f t="shared" si="40"/>
        <v>0</v>
      </c>
      <c r="G150" s="511">
        <f t="shared" si="34"/>
        <v>0</v>
      </c>
      <c r="H150" s="646">
        <f t="shared" si="32"/>
        <v>0</v>
      </c>
      <c r="I150" s="573">
        <f t="shared" si="35"/>
        <v>0</v>
      </c>
      <c r="J150" s="505">
        <f t="shared" si="36"/>
        <v>0</v>
      </c>
      <c r="K150" s="505"/>
      <c r="L150" s="513"/>
      <c r="M150" s="505">
        <f t="shared" si="37"/>
        <v>0</v>
      </c>
      <c r="N150" s="513"/>
      <c r="O150" s="505">
        <f t="shared" si="38"/>
        <v>0</v>
      </c>
      <c r="P150" s="505">
        <f t="shared" si="39"/>
        <v>0</v>
      </c>
      <c r="Q150" s="244"/>
      <c r="R150" s="244"/>
      <c r="S150" s="244"/>
      <c r="T150" s="244"/>
      <c r="U150" s="244"/>
    </row>
    <row r="151" spans="2:21" ht="12.5">
      <c r="B151" s="145" t="str">
        <f t="shared" si="33"/>
        <v/>
      </c>
      <c r="C151" s="496">
        <f>IF(D94="","-",+C150+1)</f>
        <v>2062</v>
      </c>
      <c r="D151" s="350">
        <f>IF(F150+SUM(E$100:E150)=D$93,F150,D$93-SUM(E$100:E150))</f>
        <v>0</v>
      </c>
      <c r="E151" s="510">
        <f>IF(+J97&lt;F150,J97,D151)</f>
        <v>0</v>
      </c>
      <c r="F151" s="511">
        <f t="shared" si="40"/>
        <v>0</v>
      </c>
      <c r="G151" s="511">
        <f t="shared" si="34"/>
        <v>0</v>
      </c>
      <c r="H151" s="646">
        <f t="shared" si="32"/>
        <v>0</v>
      </c>
      <c r="I151" s="573">
        <f t="shared" si="35"/>
        <v>0</v>
      </c>
      <c r="J151" s="505">
        <f t="shared" si="36"/>
        <v>0</v>
      </c>
      <c r="K151" s="505"/>
      <c r="L151" s="513"/>
      <c r="M151" s="505">
        <f t="shared" si="37"/>
        <v>0</v>
      </c>
      <c r="N151" s="513"/>
      <c r="O151" s="505">
        <f t="shared" si="38"/>
        <v>0</v>
      </c>
      <c r="P151" s="505">
        <f t="shared" si="39"/>
        <v>0</v>
      </c>
      <c r="Q151" s="244"/>
      <c r="R151" s="244"/>
      <c r="S151" s="244"/>
      <c r="T151" s="244"/>
      <c r="U151" s="244"/>
    </row>
    <row r="152" spans="2:21" ht="12.5">
      <c r="B152" s="145" t="str">
        <f t="shared" si="33"/>
        <v/>
      </c>
      <c r="C152" s="496">
        <f>IF(D94="","-",+C151+1)</f>
        <v>2063</v>
      </c>
      <c r="D152" s="350">
        <f>IF(F151+SUM(E$100:E151)=D$93,F151,D$93-SUM(E$100:E151))</f>
        <v>0</v>
      </c>
      <c r="E152" s="510">
        <f>IF(+J97&lt;F151,J97,D152)</f>
        <v>0</v>
      </c>
      <c r="F152" s="511">
        <f t="shared" si="40"/>
        <v>0</v>
      </c>
      <c r="G152" s="511">
        <f t="shared" si="34"/>
        <v>0</v>
      </c>
      <c r="H152" s="646">
        <f t="shared" si="32"/>
        <v>0</v>
      </c>
      <c r="I152" s="573">
        <f t="shared" si="35"/>
        <v>0</v>
      </c>
      <c r="J152" s="505">
        <f t="shared" si="36"/>
        <v>0</v>
      </c>
      <c r="K152" s="505"/>
      <c r="L152" s="513"/>
      <c r="M152" s="505">
        <f t="shared" si="37"/>
        <v>0</v>
      </c>
      <c r="N152" s="513"/>
      <c r="O152" s="505">
        <f t="shared" si="38"/>
        <v>0</v>
      </c>
      <c r="P152" s="505">
        <f t="shared" si="39"/>
        <v>0</v>
      </c>
      <c r="Q152" s="244"/>
      <c r="R152" s="244"/>
      <c r="S152" s="244"/>
      <c r="T152" s="244"/>
      <c r="U152" s="244"/>
    </row>
    <row r="153" spans="2:21" ht="12.5">
      <c r="B153" s="145" t="str">
        <f t="shared" si="33"/>
        <v/>
      </c>
      <c r="C153" s="496">
        <f>IF(D94="","-",+C152+1)</f>
        <v>2064</v>
      </c>
      <c r="D153" s="350">
        <f>IF(F152+SUM(E$100:E152)=D$93,F152,D$93-SUM(E$100:E152))</f>
        <v>0</v>
      </c>
      <c r="E153" s="510">
        <f>IF(+J97&lt;F152,J97,D153)</f>
        <v>0</v>
      </c>
      <c r="F153" s="511">
        <f t="shared" si="40"/>
        <v>0</v>
      </c>
      <c r="G153" s="511">
        <f t="shared" si="34"/>
        <v>0</v>
      </c>
      <c r="H153" s="646">
        <f t="shared" si="32"/>
        <v>0</v>
      </c>
      <c r="I153" s="573">
        <f t="shared" si="35"/>
        <v>0</v>
      </c>
      <c r="J153" s="505">
        <f t="shared" si="36"/>
        <v>0</v>
      </c>
      <c r="K153" s="505"/>
      <c r="L153" s="513"/>
      <c r="M153" s="505">
        <f t="shared" si="37"/>
        <v>0</v>
      </c>
      <c r="N153" s="513"/>
      <c r="O153" s="505">
        <f t="shared" si="38"/>
        <v>0</v>
      </c>
      <c r="P153" s="505">
        <f t="shared" si="39"/>
        <v>0</v>
      </c>
      <c r="Q153" s="244"/>
      <c r="R153" s="244"/>
      <c r="S153" s="244"/>
      <c r="T153" s="244"/>
      <c r="U153" s="244"/>
    </row>
    <row r="154" spans="2:21" ht="12.5">
      <c r="B154" s="145" t="str">
        <f t="shared" si="33"/>
        <v/>
      </c>
      <c r="C154" s="496">
        <f>IF(D94="","-",+C153+1)</f>
        <v>2065</v>
      </c>
      <c r="D154" s="350">
        <f>IF(F153+SUM(E$100:E153)=D$93,F153,D$93-SUM(E$100:E153))</f>
        <v>0</v>
      </c>
      <c r="E154" s="510">
        <f>IF(+J97&lt;F153,J97,D154)</f>
        <v>0</v>
      </c>
      <c r="F154" s="511">
        <f t="shared" si="40"/>
        <v>0</v>
      </c>
      <c r="G154" s="511">
        <f t="shared" si="34"/>
        <v>0</v>
      </c>
      <c r="H154" s="646">
        <f t="shared" si="32"/>
        <v>0</v>
      </c>
      <c r="I154" s="573">
        <f t="shared" si="35"/>
        <v>0</v>
      </c>
      <c r="J154" s="505">
        <f t="shared" si="36"/>
        <v>0</v>
      </c>
      <c r="K154" s="505"/>
      <c r="L154" s="513"/>
      <c r="M154" s="505">
        <f t="shared" si="37"/>
        <v>0</v>
      </c>
      <c r="N154" s="513"/>
      <c r="O154" s="505">
        <f t="shared" si="38"/>
        <v>0</v>
      </c>
      <c r="P154" s="505">
        <f t="shared" si="39"/>
        <v>0</v>
      </c>
      <c r="Q154" s="244"/>
      <c r="R154" s="244"/>
      <c r="S154" s="244"/>
      <c r="T154" s="244"/>
      <c r="U154" s="244"/>
    </row>
    <row r="155" spans="2:21" ht="13" thickBot="1">
      <c r="B155" s="145" t="str">
        <f t="shared" si="33"/>
        <v/>
      </c>
      <c r="C155" s="525">
        <f>IF(D94="","-",+C154+1)</f>
        <v>2066</v>
      </c>
      <c r="D155" s="528">
        <f>IF(F154+SUM(E$100:E154)=D$93,F154,D$93-SUM(E$100:E154))</f>
        <v>0</v>
      </c>
      <c r="E155" s="527">
        <f>IF(+J97&lt;F154,J97,D155)</f>
        <v>0</v>
      </c>
      <c r="F155" s="528">
        <f t="shared" si="40"/>
        <v>0</v>
      </c>
      <c r="G155" s="528">
        <f t="shared" si="34"/>
        <v>0</v>
      </c>
      <c r="H155" s="646">
        <f t="shared" si="32"/>
        <v>0</v>
      </c>
      <c r="I155" s="574">
        <f t="shared" si="35"/>
        <v>0</v>
      </c>
      <c r="J155" s="532">
        <f t="shared" si="36"/>
        <v>0</v>
      </c>
      <c r="K155" s="505"/>
      <c r="L155" s="531"/>
      <c r="M155" s="532">
        <f t="shared" si="37"/>
        <v>0</v>
      </c>
      <c r="N155" s="531"/>
      <c r="O155" s="532">
        <f t="shared" si="38"/>
        <v>0</v>
      </c>
      <c r="P155" s="532">
        <f t="shared" si="39"/>
        <v>0</v>
      </c>
      <c r="Q155" s="244"/>
      <c r="R155" s="244"/>
      <c r="S155" s="244"/>
      <c r="T155" s="244"/>
      <c r="U155" s="244"/>
    </row>
    <row r="156" spans="2:21" ht="12.5">
      <c r="C156" s="350" t="s">
        <v>75</v>
      </c>
      <c r="D156" s="295"/>
      <c r="E156" s="295">
        <f>SUM(E100:E155)</f>
        <v>11038231.999999998</v>
      </c>
      <c r="F156" s="295"/>
      <c r="G156" s="295"/>
      <c r="H156" s="295">
        <f>SUM(H100:H155)</f>
        <v>31375185.569486018</v>
      </c>
      <c r="I156" s="295">
        <f>SUM(I100:I155)</f>
        <v>31375185.569486018</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4" priority="1" stopIfTrue="1" operator="equal">
      <formula>$I$10</formula>
    </cfRule>
  </conditionalFormatting>
  <conditionalFormatting sqref="C100:C155">
    <cfRule type="cellIs" dxfId="43"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sheetPr>
  <dimension ref="A1:U163"/>
  <sheetViews>
    <sheetView tabSelected="1" view="pageBreakPreview" topLeftCell="A7" zoomScale="90" zoomScaleNormal="100" zoomScaleSheetLayoutView="9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5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0</v>
      </c>
      <c r="P5" s="244"/>
      <c r="R5" s="244"/>
      <c r="S5" s="244"/>
      <c r="T5" s="244"/>
      <c r="U5" s="244"/>
    </row>
    <row r="6" spans="1:21" ht="15.5">
      <c r="C6" s="236"/>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211</v>
      </c>
      <c r="E7" s="244"/>
      <c r="F7" s="244"/>
      <c r="G7" s="244"/>
      <c r="H7" s="326"/>
      <c r="I7" s="326"/>
      <c r="J7" s="295"/>
      <c r="K7" s="457" t="s">
        <v>47</v>
      </c>
      <c r="L7" s="458"/>
      <c r="M7" s="458"/>
      <c r="N7" s="459">
        <f>+N6-N5</f>
        <v>0</v>
      </c>
      <c r="O7" s="244"/>
      <c r="P7" s="244"/>
      <c r="R7" s="244"/>
      <c r="S7" s="244"/>
      <c r="T7" s="244"/>
      <c r="U7" s="244"/>
    </row>
    <row r="8" spans="1:21" ht="13.5" thickBot="1">
      <c r="C8" s="460"/>
      <c r="D8" s="605" t="s">
        <v>209</v>
      </c>
      <c r="E8" s="462"/>
      <c r="F8" s="462"/>
      <c r="G8" s="462"/>
      <c r="H8" s="462"/>
      <c r="I8" s="462"/>
      <c r="J8" s="463"/>
      <c r="K8" s="462"/>
      <c r="L8" s="462"/>
      <c r="M8" s="462"/>
      <c r="N8" s="462"/>
      <c r="O8" s="463"/>
      <c r="P8" s="249"/>
      <c r="R8" s="244"/>
      <c r="S8" s="244"/>
      <c r="T8" s="244"/>
      <c r="U8" s="244"/>
    </row>
    <row r="9" spans="1:21" ht="13.5" thickBot="1">
      <c r="A9" s="152"/>
      <c r="C9" s="464" t="s">
        <v>48</v>
      </c>
      <c r="D9" s="465" t="s">
        <v>204</v>
      </c>
      <c r="E9" s="466"/>
      <c r="F9" s="466"/>
      <c r="G9" s="466"/>
      <c r="H9" s="466"/>
      <c r="I9" s="467"/>
      <c r="J9" s="468"/>
      <c r="O9" s="469"/>
      <c r="P9" s="279"/>
      <c r="R9" s="244"/>
      <c r="S9" s="244"/>
      <c r="T9" s="244"/>
      <c r="U9" s="244"/>
    </row>
    <row r="10" spans="1:21" ht="13">
      <c r="C10" s="470" t="s">
        <v>49</v>
      </c>
      <c r="D10" s="471">
        <v>0</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2012</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4</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2012</v>
      </c>
      <c r="D17" s="497">
        <v>3951600</v>
      </c>
      <c r="E17" s="498">
        <v>45573.039110189922</v>
      </c>
      <c r="F17" s="497">
        <v>3906026.9608898102</v>
      </c>
      <c r="G17" s="499">
        <v>423078.95453720703</v>
      </c>
      <c r="H17" s="500">
        <v>423078.95453720703</v>
      </c>
      <c r="I17" s="585">
        <v>0</v>
      </c>
      <c r="J17" s="501"/>
      <c r="K17" s="502">
        <f>G17</f>
        <v>423078.95453720703</v>
      </c>
      <c r="L17" s="503">
        <f t="shared" ref="L17:L49" si="1">IF(K17&lt;&gt;0,+G17-K17,0)</f>
        <v>0</v>
      </c>
      <c r="M17" s="502">
        <f>H17</f>
        <v>423078.95453720703</v>
      </c>
      <c r="N17" s="504">
        <f t="shared" ref="N17:N49" si="2">IF(M17&lt;&gt;0,+H17-M17,0)</f>
        <v>0</v>
      </c>
      <c r="O17" s="505">
        <f t="shared" ref="O17:O49" si="3">+N17-L17</f>
        <v>0</v>
      </c>
      <c r="P17" s="279"/>
      <c r="R17" s="244"/>
      <c r="S17" s="244"/>
      <c r="T17" s="244"/>
      <c r="U17" s="244"/>
    </row>
    <row r="18" spans="2:21" ht="12.5">
      <c r="B18" s="145" t="str">
        <f t="shared" si="0"/>
        <v>IU</v>
      </c>
      <c r="C18" s="496">
        <f>IF(D$11="","-",+C17+1)</f>
        <v>2013</v>
      </c>
      <c r="D18" s="509"/>
      <c r="E18" s="510">
        <f t="shared" ref="E18:E32" si="4">IF(+I$14&lt;F17,I$14,D18)</f>
        <v>0</v>
      </c>
      <c r="F18" s="511">
        <f t="shared" ref="F18:F49" si="5">+D18-E18</f>
        <v>0</v>
      </c>
      <c r="G18" s="512">
        <f t="shared" ref="G18:G73" si="6">(D18+F18)/2*I$12+E18</f>
        <v>0</v>
      </c>
      <c r="H18" s="478">
        <f t="shared" ref="H18:H73" si="7">+(D18+F18)/2*I$13+E18</f>
        <v>0</v>
      </c>
      <c r="I18" s="501">
        <f t="shared" ref="I18:I49" si="8">H18-G18</f>
        <v>0</v>
      </c>
      <c r="J18" s="501"/>
      <c r="K18" s="513"/>
      <c r="L18" s="505">
        <f t="shared" si="1"/>
        <v>0</v>
      </c>
      <c r="M18" s="513"/>
      <c r="N18" s="505">
        <f t="shared" si="2"/>
        <v>0</v>
      </c>
      <c r="O18" s="505">
        <f t="shared" si="3"/>
        <v>0</v>
      </c>
      <c r="P18" s="279"/>
      <c r="R18" s="244"/>
      <c r="S18" s="244"/>
      <c r="T18" s="244"/>
      <c r="U18" s="244"/>
    </row>
    <row r="19" spans="2:21" ht="12.5">
      <c r="B19" s="145" t="str">
        <f t="shared" si="0"/>
        <v/>
      </c>
      <c r="C19" s="496">
        <f>IF(D$11="","-",+C18+1)</f>
        <v>2014</v>
      </c>
      <c r="D19" s="509"/>
      <c r="E19" s="510">
        <f t="shared" si="4"/>
        <v>0</v>
      </c>
      <c r="F19" s="511">
        <f t="shared" si="5"/>
        <v>0</v>
      </c>
      <c r="G19" s="512">
        <f t="shared" si="6"/>
        <v>0</v>
      </c>
      <c r="H19" s="478">
        <f t="shared" si="7"/>
        <v>0</v>
      </c>
      <c r="I19" s="501">
        <f t="shared" si="8"/>
        <v>0</v>
      </c>
      <c r="J19" s="501"/>
      <c r="K19" s="513"/>
      <c r="L19" s="505">
        <f t="shared" si="1"/>
        <v>0</v>
      </c>
      <c r="M19" s="513"/>
      <c r="N19" s="505">
        <f t="shared" si="2"/>
        <v>0</v>
      </c>
      <c r="O19" s="505">
        <f t="shared" si="3"/>
        <v>0</v>
      </c>
      <c r="P19" s="279"/>
      <c r="R19" s="244"/>
      <c r="S19" s="244"/>
      <c r="T19" s="244"/>
      <c r="U19" s="244"/>
    </row>
    <row r="20" spans="2:21" ht="12.5">
      <c r="B20" s="145" t="str">
        <f t="shared" si="0"/>
        <v/>
      </c>
      <c r="C20" s="496">
        <f>IF(D$11="","-",+C19+1)</f>
        <v>2015</v>
      </c>
      <c r="D20" s="509"/>
      <c r="E20" s="510">
        <f t="shared" si="4"/>
        <v>0</v>
      </c>
      <c r="F20" s="511">
        <f t="shared" si="5"/>
        <v>0</v>
      </c>
      <c r="G20" s="512">
        <f t="shared" si="6"/>
        <v>0</v>
      </c>
      <c r="H20" s="478">
        <f t="shared" si="7"/>
        <v>0</v>
      </c>
      <c r="I20" s="501">
        <f t="shared" si="8"/>
        <v>0</v>
      </c>
      <c r="J20" s="501"/>
      <c r="K20" s="513"/>
      <c r="L20" s="505">
        <f t="shared" si="1"/>
        <v>0</v>
      </c>
      <c r="M20" s="513"/>
      <c r="N20" s="505">
        <f t="shared" si="2"/>
        <v>0</v>
      </c>
      <c r="O20" s="505">
        <f t="shared" si="3"/>
        <v>0</v>
      </c>
      <c r="P20" s="279"/>
      <c r="R20" s="244"/>
      <c r="S20" s="244"/>
      <c r="T20" s="244"/>
      <c r="U20" s="244"/>
    </row>
    <row r="21" spans="2:21" ht="12.5">
      <c r="B21" s="145" t="str">
        <f t="shared" si="0"/>
        <v/>
      </c>
      <c r="C21" s="496">
        <f>IF(D12="","-",+C20+1)</f>
        <v>2016</v>
      </c>
      <c r="D21" s="509"/>
      <c r="E21" s="510">
        <f t="shared" si="4"/>
        <v>0</v>
      </c>
      <c r="F21" s="511">
        <f t="shared" si="5"/>
        <v>0</v>
      </c>
      <c r="G21" s="512">
        <f t="shared" si="6"/>
        <v>0</v>
      </c>
      <c r="H21" s="478">
        <f t="shared" si="7"/>
        <v>0</v>
      </c>
      <c r="I21" s="501">
        <f t="shared" si="8"/>
        <v>0</v>
      </c>
      <c r="J21" s="501"/>
      <c r="K21" s="513"/>
      <c r="L21" s="505">
        <f t="shared" si="1"/>
        <v>0</v>
      </c>
      <c r="M21" s="513"/>
      <c r="N21" s="505">
        <f t="shared" si="2"/>
        <v>0</v>
      </c>
      <c r="O21" s="505">
        <f t="shared" si="3"/>
        <v>0</v>
      </c>
      <c r="P21" s="279"/>
      <c r="R21" s="244"/>
      <c r="S21" s="244"/>
      <c r="T21" s="244"/>
      <c r="U21" s="244"/>
    </row>
    <row r="22" spans="2:21" ht="12.5">
      <c r="B22" s="145" t="str">
        <f t="shared" si="0"/>
        <v/>
      </c>
      <c r="C22" s="496">
        <f>IF(D$11="","-",+C21+1)</f>
        <v>2017</v>
      </c>
      <c r="D22" s="509"/>
      <c r="E22" s="510">
        <f t="shared" si="4"/>
        <v>0</v>
      </c>
      <c r="F22" s="511">
        <f t="shared" si="5"/>
        <v>0</v>
      </c>
      <c r="G22" s="512">
        <f t="shared" si="6"/>
        <v>0</v>
      </c>
      <c r="H22" s="478">
        <f t="shared" si="7"/>
        <v>0</v>
      </c>
      <c r="I22" s="501">
        <f t="shared" si="8"/>
        <v>0</v>
      </c>
      <c r="J22" s="501"/>
      <c r="K22" s="513"/>
      <c r="L22" s="505">
        <f t="shared" si="1"/>
        <v>0</v>
      </c>
      <c r="M22" s="513"/>
      <c r="N22" s="505">
        <f t="shared" si="2"/>
        <v>0</v>
      </c>
      <c r="O22" s="505">
        <f t="shared" si="3"/>
        <v>0</v>
      </c>
      <c r="P22" s="279"/>
      <c r="R22" s="244"/>
      <c r="S22" s="244"/>
      <c r="T22" s="244"/>
      <c r="U22" s="244"/>
    </row>
    <row r="23" spans="2:21" ht="12.5">
      <c r="B23" s="145" t="str">
        <f t="shared" si="0"/>
        <v/>
      </c>
      <c r="C23" s="496">
        <f>IF(D$11="","-",+C22+1)</f>
        <v>2018</v>
      </c>
      <c r="D23" s="509"/>
      <c r="E23" s="510">
        <f t="shared" si="4"/>
        <v>0</v>
      </c>
      <c r="F23" s="511">
        <f t="shared" si="5"/>
        <v>0</v>
      </c>
      <c r="G23" s="512">
        <f t="shared" si="6"/>
        <v>0</v>
      </c>
      <c r="H23" s="478">
        <f t="shared" si="7"/>
        <v>0</v>
      </c>
      <c r="I23" s="501">
        <f t="shared" si="8"/>
        <v>0</v>
      </c>
      <c r="J23" s="501"/>
      <c r="K23" s="513"/>
      <c r="L23" s="505">
        <f t="shared" si="1"/>
        <v>0</v>
      </c>
      <c r="M23" s="513"/>
      <c r="N23" s="505">
        <f t="shared" si="2"/>
        <v>0</v>
      </c>
      <c r="O23" s="505">
        <f t="shared" si="3"/>
        <v>0</v>
      </c>
      <c r="P23" s="279"/>
      <c r="R23" s="244"/>
      <c r="S23" s="244"/>
      <c r="T23" s="244"/>
      <c r="U23" s="244"/>
    </row>
    <row r="24" spans="2:21" ht="12.5">
      <c r="B24" s="145" t="str">
        <f t="shared" si="0"/>
        <v/>
      </c>
      <c r="C24" s="496">
        <f>IF(D$11="","-",+C23+1)</f>
        <v>2019</v>
      </c>
      <c r="D24" s="509"/>
      <c r="E24" s="510">
        <f t="shared" si="4"/>
        <v>0</v>
      </c>
      <c r="F24" s="511">
        <f t="shared" si="5"/>
        <v>0</v>
      </c>
      <c r="G24" s="512">
        <f t="shared" si="6"/>
        <v>0</v>
      </c>
      <c r="H24" s="478">
        <f t="shared" si="7"/>
        <v>0</v>
      </c>
      <c r="I24" s="501">
        <f t="shared" si="8"/>
        <v>0</v>
      </c>
      <c r="J24" s="501"/>
      <c r="K24" s="513"/>
      <c r="L24" s="505">
        <f t="shared" si="1"/>
        <v>0</v>
      </c>
      <c r="M24" s="513"/>
      <c r="N24" s="505">
        <f t="shared" si="2"/>
        <v>0</v>
      </c>
      <c r="O24" s="505">
        <f t="shared" si="3"/>
        <v>0</v>
      </c>
      <c r="P24" s="279"/>
      <c r="R24" s="244"/>
      <c r="S24" s="244"/>
      <c r="T24" s="244"/>
      <c r="U24" s="244"/>
    </row>
    <row r="25" spans="2:21" ht="12.5">
      <c r="B25" s="145" t="str">
        <f t="shared" si="0"/>
        <v/>
      </c>
      <c r="C25" s="496">
        <f>IF(D$11="","-",+C24+1)</f>
        <v>2020</v>
      </c>
      <c r="D25" s="509"/>
      <c r="E25" s="510">
        <f t="shared" si="4"/>
        <v>0</v>
      </c>
      <c r="F25" s="511">
        <f t="shared" si="5"/>
        <v>0</v>
      </c>
      <c r="G25" s="512">
        <f t="shared" si="6"/>
        <v>0</v>
      </c>
      <c r="H25" s="478">
        <f t="shared" si="7"/>
        <v>0</v>
      </c>
      <c r="I25" s="501">
        <f t="shared" si="8"/>
        <v>0</v>
      </c>
      <c r="J25" s="501"/>
      <c r="K25" s="513"/>
      <c r="L25" s="505">
        <f t="shared" si="1"/>
        <v>0</v>
      </c>
      <c r="M25" s="513"/>
      <c r="N25" s="505">
        <f t="shared" si="2"/>
        <v>0</v>
      </c>
      <c r="O25" s="505">
        <f t="shared" si="3"/>
        <v>0</v>
      </c>
      <c r="P25" s="279"/>
      <c r="R25" s="244"/>
      <c r="S25" s="244"/>
      <c r="T25" s="244"/>
      <c r="U25" s="244"/>
    </row>
    <row r="26" spans="2:21" ht="12.5">
      <c r="B26" s="145" t="str">
        <f t="shared" si="0"/>
        <v/>
      </c>
      <c r="C26" s="496">
        <f>IF(D$11="","-",+C25+1)</f>
        <v>2021</v>
      </c>
      <c r="D26" s="509"/>
      <c r="E26" s="510">
        <f t="shared" si="4"/>
        <v>0</v>
      </c>
      <c r="F26" s="511">
        <f t="shared" si="5"/>
        <v>0</v>
      </c>
      <c r="G26" s="512">
        <f t="shared" si="6"/>
        <v>0</v>
      </c>
      <c r="H26" s="478">
        <f t="shared" si="7"/>
        <v>0</v>
      </c>
      <c r="I26" s="501">
        <f t="shared" si="8"/>
        <v>0</v>
      </c>
      <c r="J26" s="501"/>
      <c r="K26" s="513"/>
      <c r="L26" s="505">
        <f t="shared" si="1"/>
        <v>0</v>
      </c>
      <c r="M26" s="513"/>
      <c r="N26" s="505">
        <f t="shared" si="2"/>
        <v>0</v>
      </c>
      <c r="O26" s="505">
        <f t="shared" si="3"/>
        <v>0</v>
      </c>
      <c r="P26" s="279"/>
      <c r="R26" s="244"/>
      <c r="S26" s="244"/>
      <c r="T26" s="244"/>
      <c r="U26" s="244"/>
    </row>
    <row r="27" spans="2:21" ht="12.5">
      <c r="B27" s="145" t="str">
        <f t="shared" si="0"/>
        <v/>
      </c>
      <c r="C27" s="496">
        <f t="shared" ref="C27:C73" si="9">IF(D$11="","-",+C26+1)</f>
        <v>2022</v>
      </c>
      <c r="D27" s="509"/>
      <c r="E27" s="510">
        <f t="shared" si="4"/>
        <v>0</v>
      </c>
      <c r="F27" s="511">
        <f t="shared" si="5"/>
        <v>0</v>
      </c>
      <c r="G27" s="512">
        <f t="shared" si="6"/>
        <v>0</v>
      </c>
      <c r="H27" s="478">
        <f t="shared" si="7"/>
        <v>0</v>
      </c>
      <c r="I27" s="501">
        <f t="shared" si="8"/>
        <v>0</v>
      </c>
      <c r="J27" s="501"/>
      <c r="K27" s="513"/>
      <c r="L27" s="505">
        <f t="shared" si="1"/>
        <v>0</v>
      </c>
      <c r="M27" s="513"/>
      <c r="N27" s="505">
        <f t="shared" si="2"/>
        <v>0</v>
      </c>
      <c r="O27" s="505">
        <f t="shared" si="3"/>
        <v>0</v>
      </c>
      <c r="P27" s="279"/>
      <c r="R27" s="244"/>
      <c r="S27" s="244"/>
      <c r="T27" s="244"/>
      <c r="U27" s="244"/>
    </row>
    <row r="28" spans="2:21" ht="12.5">
      <c r="B28" s="145" t="str">
        <f t="shared" si="0"/>
        <v/>
      </c>
      <c r="C28" s="496">
        <f t="shared" si="9"/>
        <v>2023</v>
      </c>
      <c r="D28" s="509"/>
      <c r="E28" s="510">
        <f t="shared" si="4"/>
        <v>0</v>
      </c>
      <c r="F28" s="511">
        <f t="shared" si="5"/>
        <v>0</v>
      </c>
      <c r="G28" s="512">
        <f t="shared" si="6"/>
        <v>0</v>
      </c>
      <c r="H28" s="478">
        <f t="shared" si="7"/>
        <v>0</v>
      </c>
      <c r="I28" s="501">
        <f t="shared" si="8"/>
        <v>0</v>
      </c>
      <c r="J28" s="501"/>
      <c r="K28" s="513"/>
      <c r="L28" s="505">
        <f t="shared" si="1"/>
        <v>0</v>
      </c>
      <c r="M28" s="513"/>
      <c r="N28" s="505">
        <f t="shared" si="2"/>
        <v>0</v>
      </c>
      <c r="O28" s="505">
        <f t="shared" si="3"/>
        <v>0</v>
      </c>
      <c r="P28" s="279"/>
      <c r="R28" s="244"/>
      <c r="S28" s="244"/>
      <c r="T28" s="244"/>
      <c r="U28" s="244"/>
    </row>
    <row r="29" spans="2:21" ht="12.5">
      <c r="B29" s="145" t="str">
        <f t="shared" si="0"/>
        <v/>
      </c>
      <c r="C29" s="496">
        <f t="shared" si="9"/>
        <v>2024</v>
      </c>
      <c r="D29" s="509"/>
      <c r="E29" s="510">
        <f t="shared" si="4"/>
        <v>0</v>
      </c>
      <c r="F29" s="511">
        <f t="shared" si="5"/>
        <v>0</v>
      </c>
      <c r="G29" s="512">
        <f t="shared" si="6"/>
        <v>0</v>
      </c>
      <c r="H29" s="478">
        <f t="shared" si="7"/>
        <v>0</v>
      </c>
      <c r="I29" s="501">
        <f t="shared" si="8"/>
        <v>0</v>
      </c>
      <c r="J29" s="501"/>
      <c r="K29" s="513"/>
      <c r="L29" s="505">
        <f t="shared" si="1"/>
        <v>0</v>
      </c>
      <c r="M29" s="513"/>
      <c r="N29" s="505">
        <f t="shared" si="2"/>
        <v>0</v>
      </c>
      <c r="O29" s="505">
        <f t="shared" si="3"/>
        <v>0</v>
      </c>
      <c r="P29" s="279"/>
      <c r="R29" s="244"/>
      <c r="S29" s="244"/>
      <c r="T29" s="244"/>
      <c r="U29" s="244"/>
    </row>
    <row r="30" spans="2:21" ht="12.5">
      <c r="B30" s="145" t="str">
        <f t="shared" si="0"/>
        <v/>
      </c>
      <c r="C30" s="496">
        <f t="shared" si="9"/>
        <v>2025</v>
      </c>
      <c r="D30" s="509"/>
      <c r="E30" s="510">
        <f t="shared" si="4"/>
        <v>0</v>
      </c>
      <c r="F30" s="511">
        <f t="shared" si="5"/>
        <v>0</v>
      </c>
      <c r="G30" s="512">
        <f t="shared" si="6"/>
        <v>0</v>
      </c>
      <c r="H30" s="478">
        <f t="shared" si="7"/>
        <v>0</v>
      </c>
      <c r="I30" s="501">
        <f t="shared" si="8"/>
        <v>0</v>
      </c>
      <c r="J30" s="501"/>
      <c r="K30" s="513"/>
      <c r="L30" s="505">
        <f t="shared" si="1"/>
        <v>0</v>
      </c>
      <c r="M30" s="513"/>
      <c r="N30" s="505">
        <f t="shared" si="2"/>
        <v>0</v>
      </c>
      <c r="O30" s="505">
        <f t="shared" si="3"/>
        <v>0</v>
      </c>
      <c r="P30" s="279"/>
      <c r="R30" s="244"/>
      <c r="S30" s="244"/>
      <c r="T30" s="244"/>
      <c r="U30" s="244"/>
    </row>
    <row r="31" spans="2:21" ht="12.5">
      <c r="B31" s="145" t="str">
        <f t="shared" si="0"/>
        <v/>
      </c>
      <c r="C31" s="496">
        <f t="shared" si="9"/>
        <v>2026</v>
      </c>
      <c r="D31" s="509"/>
      <c r="E31" s="510">
        <f t="shared" si="4"/>
        <v>0</v>
      </c>
      <c r="F31" s="511">
        <f t="shared" si="5"/>
        <v>0</v>
      </c>
      <c r="G31" s="512">
        <f t="shared" si="6"/>
        <v>0</v>
      </c>
      <c r="H31" s="478">
        <f t="shared" si="7"/>
        <v>0</v>
      </c>
      <c r="I31" s="501">
        <f t="shared" si="8"/>
        <v>0</v>
      </c>
      <c r="J31" s="501"/>
      <c r="K31" s="513"/>
      <c r="L31" s="505">
        <f t="shared" si="1"/>
        <v>0</v>
      </c>
      <c r="M31" s="513"/>
      <c r="N31" s="505">
        <f t="shared" si="2"/>
        <v>0</v>
      </c>
      <c r="O31" s="505">
        <f t="shared" si="3"/>
        <v>0</v>
      </c>
      <c r="P31" s="279"/>
      <c r="Q31" s="221"/>
      <c r="R31" s="279"/>
      <c r="S31" s="279"/>
      <c r="T31" s="279"/>
      <c r="U31" s="244"/>
    </row>
    <row r="32" spans="2:21" ht="12.5">
      <c r="B32" s="145" t="str">
        <f t="shared" si="0"/>
        <v/>
      </c>
      <c r="C32" s="496">
        <f t="shared" si="9"/>
        <v>2027</v>
      </c>
      <c r="D32" s="509"/>
      <c r="E32" s="510">
        <f t="shared" si="4"/>
        <v>0</v>
      </c>
      <c r="F32" s="511">
        <f>+D32-E32</f>
        <v>0</v>
      </c>
      <c r="G32" s="512">
        <f t="shared" si="6"/>
        <v>0</v>
      </c>
      <c r="H32" s="478">
        <f t="shared" si="7"/>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 t="shared" si="9"/>
        <v>2028</v>
      </c>
      <c r="D33" s="509"/>
      <c r="E33" s="510">
        <f>IF(+I$14&lt;F31,I$14,D33)</f>
        <v>0</v>
      </c>
      <c r="F33" s="511">
        <f t="shared" si="5"/>
        <v>0</v>
      </c>
      <c r="G33" s="512">
        <f t="shared" si="6"/>
        <v>0</v>
      </c>
      <c r="H33" s="478">
        <f t="shared" si="7"/>
        <v>0</v>
      </c>
      <c r="I33" s="501">
        <f t="shared" si="8"/>
        <v>0</v>
      </c>
      <c r="J33" s="501"/>
      <c r="K33" s="513"/>
      <c r="L33" s="505">
        <f t="shared" si="1"/>
        <v>0</v>
      </c>
      <c r="M33" s="513"/>
      <c r="N33" s="505">
        <f t="shared" si="2"/>
        <v>0</v>
      </c>
      <c r="O33" s="505">
        <f t="shared" si="3"/>
        <v>0</v>
      </c>
      <c r="P33" s="279"/>
      <c r="R33" s="244"/>
      <c r="S33" s="244"/>
      <c r="T33" s="244"/>
      <c r="U33" s="244"/>
    </row>
    <row r="34" spans="2:21" ht="12.5">
      <c r="B34" s="145" t="str">
        <f t="shared" si="0"/>
        <v/>
      </c>
      <c r="C34" s="496">
        <f t="shared" si="9"/>
        <v>2029</v>
      </c>
      <c r="D34" s="509"/>
      <c r="E34" s="510">
        <f t="shared" ref="E34:E73" si="10">IF(+I$14&lt;F33,I$14,D34)</f>
        <v>0</v>
      </c>
      <c r="F34" s="511">
        <f t="shared" si="5"/>
        <v>0</v>
      </c>
      <c r="G34" s="512">
        <f t="shared" si="6"/>
        <v>0</v>
      </c>
      <c r="H34" s="478">
        <f t="shared" si="7"/>
        <v>0</v>
      </c>
      <c r="I34" s="501">
        <f t="shared" si="8"/>
        <v>0</v>
      </c>
      <c r="J34" s="501"/>
      <c r="K34" s="513"/>
      <c r="L34" s="505">
        <f t="shared" si="1"/>
        <v>0</v>
      </c>
      <c r="M34" s="513"/>
      <c r="N34" s="505">
        <f t="shared" si="2"/>
        <v>0</v>
      </c>
      <c r="O34" s="505">
        <f t="shared" si="3"/>
        <v>0</v>
      </c>
      <c r="P34" s="523"/>
      <c r="Q34" s="217"/>
      <c r="R34" s="523"/>
      <c r="S34" s="523"/>
      <c r="T34" s="523"/>
      <c r="U34" s="244"/>
    </row>
    <row r="35" spans="2:21" ht="12.5">
      <c r="B35" s="145" t="str">
        <f t="shared" si="0"/>
        <v/>
      </c>
      <c r="C35" s="496">
        <f t="shared" si="9"/>
        <v>2030</v>
      </c>
      <c r="D35" s="509"/>
      <c r="E35" s="510">
        <f t="shared" si="10"/>
        <v>0</v>
      </c>
      <c r="F35" s="511">
        <f t="shared" si="5"/>
        <v>0</v>
      </c>
      <c r="G35" s="512">
        <f t="shared" si="6"/>
        <v>0</v>
      </c>
      <c r="H35" s="478">
        <f t="shared" si="7"/>
        <v>0</v>
      </c>
      <c r="I35" s="501">
        <f t="shared" si="8"/>
        <v>0</v>
      </c>
      <c r="J35" s="501"/>
      <c r="K35" s="513"/>
      <c r="L35" s="505">
        <f t="shared" si="1"/>
        <v>0</v>
      </c>
      <c r="M35" s="513"/>
      <c r="N35" s="505">
        <f t="shared" si="2"/>
        <v>0</v>
      </c>
      <c r="O35" s="505">
        <f t="shared" si="3"/>
        <v>0</v>
      </c>
      <c r="P35" s="279"/>
      <c r="R35" s="244"/>
      <c r="S35" s="244"/>
      <c r="T35" s="244"/>
      <c r="U35" s="244"/>
    </row>
    <row r="36" spans="2:21" ht="12.5">
      <c r="B36" s="145" t="str">
        <f t="shared" si="0"/>
        <v/>
      </c>
      <c r="C36" s="496">
        <f t="shared" si="9"/>
        <v>2031</v>
      </c>
      <c r="D36" s="509"/>
      <c r="E36" s="510">
        <f t="shared" si="10"/>
        <v>0</v>
      </c>
      <c r="F36" s="511">
        <f t="shared" si="5"/>
        <v>0</v>
      </c>
      <c r="G36" s="512">
        <f t="shared" si="6"/>
        <v>0</v>
      </c>
      <c r="H36" s="478">
        <f t="shared" si="7"/>
        <v>0</v>
      </c>
      <c r="I36" s="501">
        <f t="shared" si="8"/>
        <v>0</v>
      </c>
      <c r="J36" s="501"/>
      <c r="K36" s="513"/>
      <c r="L36" s="505">
        <f t="shared" si="1"/>
        <v>0</v>
      </c>
      <c r="M36" s="513"/>
      <c r="N36" s="505">
        <f t="shared" si="2"/>
        <v>0</v>
      </c>
      <c r="O36" s="505">
        <f t="shared" si="3"/>
        <v>0</v>
      </c>
      <c r="P36" s="279"/>
      <c r="R36" s="244"/>
      <c r="S36" s="244"/>
      <c r="T36" s="244"/>
      <c r="U36" s="244"/>
    </row>
    <row r="37" spans="2:21" ht="12.5">
      <c r="B37" s="145" t="str">
        <f t="shared" si="0"/>
        <v/>
      </c>
      <c r="C37" s="496">
        <f t="shared" si="9"/>
        <v>2032</v>
      </c>
      <c r="D37" s="509"/>
      <c r="E37" s="510">
        <f t="shared" si="10"/>
        <v>0</v>
      </c>
      <c r="F37" s="511">
        <f t="shared" si="5"/>
        <v>0</v>
      </c>
      <c r="G37" s="512">
        <f t="shared" si="6"/>
        <v>0</v>
      </c>
      <c r="H37" s="478">
        <f t="shared" si="7"/>
        <v>0</v>
      </c>
      <c r="I37" s="501">
        <f t="shared" si="8"/>
        <v>0</v>
      </c>
      <c r="J37" s="501"/>
      <c r="K37" s="513"/>
      <c r="L37" s="505">
        <f t="shared" si="1"/>
        <v>0</v>
      </c>
      <c r="M37" s="513"/>
      <c r="N37" s="505">
        <f t="shared" si="2"/>
        <v>0</v>
      </c>
      <c r="O37" s="505">
        <f t="shared" si="3"/>
        <v>0</v>
      </c>
      <c r="P37" s="279"/>
      <c r="R37" s="244"/>
      <c r="S37" s="244"/>
      <c r="T37" s="244"/>
      <c r="U37" s="244"/>
    </row>
    <row r="38" spans="2:21" ht="12.5">
      <c r="B38" s="145" t="str">
        <f t="shared" si="0"/>
        <v/>
      </c>
      <c r="C38" s="496">
        <f t="shared" si="9"/>
        <v>2033</v>
      </c>
      <c r="D38" s="509"/>
      <c r="E38" s="510">
        <f t="shared" si="10"/>
        <v>0</v>
      </c>
      <c r="F38" s="511">
        <f t="shared" si="5"/>
        <v>0</v>
      </c>
      <c r="G38" s="512">
        <f t="shared" si="6"/>
        <v>0</v>
      </c>
      <c r="H38" s="478">
        <f t="shared" si="7"/>
        <v>0</v>
      </c>
      <c r="I38" s="501">
        <f t="shared" si="8"/>
        <v>0</v>
      </c>
      <c r="J38" s="501"/>
      <c r="K38" s="513"/>
      <c r="L38" s="505">
        <f t="shared" si="1"/>
        <v>0</v>
      </c>
      <c r="M38" s="513"/>
      <c r="N38" s="505">
        <f t="shared" si="2"/>
        <v>0</v>
      </c>
      <c r="O38" s="505">
        <f t="shared" si="3"/>
        <v>0</v>
      </c>
      <c r="P38" s="279"/>
      <c r="R38" s="244"/>
      <c r="S38" s="244"/>
      <c r="T38" s="244"/>
      <c r="U38" s="244"/>
    </row>
    <row r="39" spans="2:21" ht="12.5">
      <c r="B39" s="145" t="str">
        <f t="shared" si="0"/>
        <v/>
      </c>
      <c r="C39" s="496">
        <f t="shared" si="9"/>
        <v>2034</v>
      </c>
      <c r="D39" s="509"/>
      <c r="E39" s="510">
        <f t="shared" si="10"/>
        <v>0</v>
      </c>
      <c r="F39" s="511">
        <f t="shared" si="5"/>
        <v>0</v>
      </c>
      <c r="G39" s="512">
        <f t="shared" si="6"/>
        <v>0</v>
      </c>
      <c r="H39" s="478">
        <f t="shared" si="7"/>
        <v>0</v>
      </c>
      <c r="I39" s="501">
        <f t="shared" si="8"/>
        <v>0</v>
      </c>
      <c r="J39" s="501"/>
      <c r="K39" s="513"/>
      <c r="L39" s="505">
        <f t="shared" si="1"/>
        <v>0</v>
      </c>
      <c r="M39" s="513"/>
      <c r="N39" s="505">
        <f t="shared" si="2"/>
        <v>0</v>
      </c>
      <c r="O39" s="505">
        <f t="shared" si="3"/>
        <v>0</v>
      </c>
      <c r="P39" s="279"/>
      <c r="R39" s="244"/>
      <c r="S39" s="244"/>
      <c r="T39" s="244"/>
      <c r="U39" s="244"/>
    </row>
    <row r="40" spans="2:21" ht="12.5">
      <c r="B40" s="145" t="str">
        <f t="shared" si="0"/>
        <v/>
      </c>
      <c r="C40" s="496">
        <f t="shared" si="9"/>
        <v>2035</v>
      </c>
      <c r="D40" s="509"/>
      <c r="E40" s="510">
        <f t="shared" si="10"/>
        <v>0</v>
      </c>
      <c r="F40" s="511">
        <f t="shared" si="5"/>
        <v>0</v>
      </c>
      <c r="G40" s="512">
        <f t="shared" si="6"/>
        <v>0</v>
      </c>
      <c r="H40" s="478">
        <f t="shared" si="7"/>
        <v>0</v>
      </c>
      <c r="I40" s="501">
        <f t="shared" si="8"/>
        <v>0</v>
      </c>
      <c r="J40" s="501"/>
      <c r="K40" s="513"/>
      <c r="L40" s="505">
        <f t="shared" si="1"/>
        <v>0</v>
      </c>
      <c r="M40" s="513"/>
      <c r="N40" s="505">
        <f t="shared" si="2"/>
        <v>0</v>
      </c>
      <c r="O40" s="505">
        <f t="shared" si="3"/>
        <v>0</v>
      </c>
      <c r="P40" s="279"/>
      <c r="R40" s="244"/>
      <c r="S40" s="244"/>
      <c r="T40" s="244"/>
      <c r="U40" s="244"/>
    </row>
    <row r="41" spans="2:21" ht="12.5">
      <c r="B41" s="145" t="str">
        <f t="shared" si="0"/>
        <v/>
      </c>
      <c r="C41" s="496">
        <f t="shared" si="9"/>
        <v>2036</v>
      </c>
      <c r="D41" s="509"/>
      <c r="E41" s="510">
        <f t="shared" si="10"/>
        <v>0</v>
      </c>
      <c r="F41" s="511">
        <f t="shared" si="5"/>
        <v>0</v>
      </c>
      <c r="G41" s="512">
        <f t="shared" si="6"/>
        <v>0</v>
      </c>
      <c r="H41" s="478">
        <f t="shared" si="7"/>
        <v>0</v>
      </c>
      <c r="I41" s="501">
        <f t="shared" si="8"/>
        <v>0</v>
      </c>
      <c r="J41" s="501"/>
      <c r="K41" s="513"/>
      <c r="L41" s="505">
        <f t="shared" si="1"/>
        <v>0</v>
      </c>
      <c r="M41" s="513"/>
      <c r="N41" s="505">
        <f t="shared" si="2"/>
        <v>0</v>
      </c>
      <c r="O41" s="505">
        <f t="shared" si="3"/>
        <v>0</v>
      </c>
      <c r="P41" s="279"/>
      <c r="R41" s="244"/>
      <c r="S41" s="244"/>
      <c r="T41" s="244"/>
      <c r="U41" s="244"/>
    </row>
    <row r="42" spans="2:21" ht="12.5">
      <c r="B42" s="145" t="str">
        <f t="shared" si="0"/>
        <v/>
      </c>
      <c r="C42" s="496">
        <f t="shared" si="9"/>
        <v>2037</v>
      </c>
      <c r="D42" s="509"/>
      <c r="E42" s="510">
        <f t="shared" si="10"/>
        <v>0</v>
      </c>
      <c r="F42" s="511">
        <f t="shared" si="5"/>
        <v>0</v>
      </c>
      <c r="G42" s="512">
        <f t="shared" si="6"/>
        <v>0</v>
      </c>
      <c r="H42" s="478">
        <f t="shared" si="7"/>
        <v>0</v>
      </c>
      <c r="I42" s="501">
        <f t="shared" si="8"/>
        <v>0</v>
      </c>
      <c r="J42" s="501"/>
      <c r="K42" s="513"/>
      <c r="L42" s="505">
        <f t="shared" si="1"/>
        <v>0</v>
      </c>
      <c r="M42" s="513"/>
      <c r="N42" s="505">
        <f t="shared" si="2"/>
        <v>0</v>
      </c>
      <c r="O42" s="505">
        <f t="shared" si="3"/>
        <v>0</v>
      </c>
      <c r="P42" s="279"/>
      <c r="R42" s="244"/>
      <c r="S42" s="244"/>
      <c r="T42" s="244"/>
      <c r="U42" s="244"/>
    </row>
    <row r="43" spans="2:21" ht="12.5">
      <c r="B43" s="145" t="str">
        <f t="shared" si="0"/>
        <v/>
      </c>
      <c r="C43" s="496">
        <f t="shared" si="9"/>
        <v>2038</v>
      </c>
      <c r="D43" s="509"/>
      <c r="E43" s="510">
        <f t="shared" si="10"/>
        <v>0</v>
      </c>
      <c r="F43" s="511">
        <f t="shared" si="5"/>
        <v>0</v>
      </c>
      <c r="G43" s="512">
        <f t="shared" si="6"/>
        <v>0</v>
      </c>
      <c r="H43" s="478">
        <f t="shared" si="7"/>
        <v>0</v>
      </c>
      <c r="I43" s="501">
        <f t="shared" si="8"/>
        <v>0</v>
      </c>
      <c r="J43" s="501"/>
      <c r="K43" s="513"/>
      <c r="L43" s="505">
        <f t="shared" si="1"/>
        <v>0</v>
      </c>
      <c r="M43" s="513"/>
      <c r="N43" s="505">
        <f t="shared" si="2"/>
        <v>0</v>
      </c>
      <c r="O43" s="505">
        <f t="shared" si="3"/>
        <v>0</v>
      </c>
      <c r="P43" s="279"/>
      <c r="R43" s="244"/>
      <c r="S43" s="244"/>
      <c r="T43" s="244"/>
      <c r="U43" s="244"/>
    </row>
    <row r="44" spans="2:21" ht="12.5">
      <c r="B44" s="145" t="str">
        <f t="shared" si="0"/>
        <v/>
      </c>
      <c r="C44" s="496">
        <f t="shared" si="9"/>
        <v>2039</v>
      </c>
      <c r="D44" s="509"/>
      <c r="E44" s="510">
        <f t="shared" si="10"/>
        <v>0</v>
      </c>
      <c r="F44" s="511">
        <f t="shared" si="5"/>
        <v>0</v>
      </c>
      <c r="G44" s="512">
        <f t="shared" si="6"/>
        <v>0</v>
      </c>
      <c r="H44" s="478">
        <f t="shared" si="7"/>
        <v>0</v>
      </c>
      <c r="I44" s="501">
        <f t="shared" si="8"/>
        <v>0</v>
      </c>
      <c r="J44" s="501"/>
      <c r="K44" s="513"/>
      <c r="L44" s="505">
        <f t="shared" si="1"/>
        <v>0</v>
      </c>
      <c r="M44" s="513"/>
      <c r="N44" s="505">
        <f t="shared" si="2"/>
        <v>0</v>
      </c>
      <c r="O44" s="505">
        <f t="shared" si="3"/>
        <v>0</v>
      </c>
      <c r="P44" s="279"/>
      <c r="R44" s="244"/>
      <c r="S44" s="244"/>
      <c r="T44" s="244"/>
      <c r="U44" s="244"/>
    </row>
    <row r="45" spans="2:21" ht="12.5">
      <c r="B45" s="145" t="str">
        <f t="shared" si="0"/>
        <v/>
      </c>
      <c r="C45" s="496">
        <f t="shared" si="9"/>
        <v>2040</v>
      </c>
      <c r="D45" s="509"/>
      <c r="E45" s="510">
        <f t="shared" si="10"/>
        <v>0</v>
      </c>
      <c r="F45" s="511">
        <f t="shared" si="5"/>
        <v>0</v>
      </c>
      <c r="G45" s="512">
        <f t="shared" si="6"/>
        <v>0</v>
      </c>
      <c r="H45" s="478">
        <f t="shared" si="7"/>
        <v>0</v>
      </c>
      <c r="I45" s="501">
        <f t="shared" si="8"/>
        <v>0</v>
      </c>
      <c r="J45" s="501"/>
      <c r="K45" s="513"/>
      <c r="L45" s="505">
        <f t="shared" si="1"/>
        <v>0</v>
      </c>
      <c r="M45" s="513"/>
      <c r="N45" s="505">
        <f t="shared" si="2"/>
        <v>0</v>
      </c>
      <c r="O45" s="505">
        <f t="shared" si="3"/>
        <v>0</v>
      </c>
      <c r="P45" s="279"/>
      <c r="R45" s="244"/>
      <c r="S45" s="244"/>
      <c r="T45" s="244"/>
      <c r="U45" s="244"/>
    </row>
    <row r="46" spans="2:21" ht="12.5">
      <c r="B46" s="145" t="str">
        <f t="shared" si="0"/>
        <v/>
      </c>
      <c r="C46" s="496">
        <f t="shared" si="9"/>
        <v>2041</v>
      </c>
      <c r="D46" s="509"/>
      <c r="E46" s="510">
        <f t="shared" si="10"/>
        <v>0</v>
      </c>
      <c r="F46" s="511">
        <f t="shared" si="5"/>
        <v>0</v>
      </c>
      <c r="G46" s="512">
        <f t="shared" si="6"/>
        <v>0</v>
      </c>
      <c r="H46" s="478">
        <f t="shared" si="7"/>
        <v>0</v>
      </c>
      <c r="I46" s="501">
        <f t="shared" si="8"/>
        <v>0</v>
      </c>
      <c r="J46" s="501"/>
      <c r="K46" s="513"/>
      <c r="L46" s="505">
        <f t="shared" si="1"/>
        <v>0</v>
      </c>
      <c r="M46" s="513"/>
      <c r="N46" s="505">
        <f t="shared" si="2"/>
        <v>0</v>
      </c>
      <c r="O46" s="505">
        <f t="shared" si="3"/>
        <v>0</v>
      </c>
      <c r="P46" s="279"/>
      <c r="R46" s="244"/>
      <c r="S46" s="244"/>
      <c r="T46" s="244"/>
      <c r="U46" s="244"/>
    </row>
    <row r="47" spans="2:21" ht="12.5">
      <c r="B47" s="145" t="str">
        <f t="shared" si="0"/>
        <v/>
      </c>
      <c r="C47" s="496">
        <f t="shared" si="9"/>
        <v>2042</v>
      </c>
      <c r="D47" s="509"/>
      <c r="E47" s="510">
        <f t="shared" si="10"/>
        <v>0</v>
      </c>
      <c r="F47" s="511">
        <f t="shared" si="5"/>
        <v>0</v>
      </c>
      <c r="G47" s="512">
        <f t="shared" si="6"/>
        <v>0</v>
      </c>
      <c r="H47" s="478">
        <f t="shared" si="7"/>
        <v>0</v>
      </c>
      <c r="I47" s="501">
        <f t="shared" si="8"/>
        <v>0</v>
      </c>
      <c r="J47" s="501"/>
      <c r="K47" s="513"/>
      <c r="L47" s="505">
        <f t="shared" si="1"/>
        <v>0</v>
      </c>
      <c r="M47" s="513"/>
      <c r="N47" s="505">
        <f t="shared" si="2"/>
        <v>0</v>
      </c>
      <c r="O47" s="505">
        <f t="shared" si="3"/>
        <v>0</v>
      </c>
      <c r="P47" s="279"/>
      <c r="R47" s="244"/>
      <c r="S47" s="244"/>
      <c r="T47" s="244"/>
      <c r="U47" s="244"/>
    </row>
    <row r="48" spans="2:21" ht="12.5">
      <c r="B48" s="145" t="str">
        <f t="shared" si="0"/>
        <v/>
      </c>
      <c r="C48" s="496">
        <f t="shared" si="9"/>
        <v>2043</v>
      </c>
      <c r="D48" s="509"/>
      <c r="E48" s="510">
        <f t="shared" si="10"/>
        <v>0</v>
      </c>
      <c r="F48" s="511">
        <f t="shared" si="5"/>
        <v>0</v>
      </c>
      <c r="G48" s="512">
        <f t="shared" si="6"/>
        <v>0</v>
      </c>
      <c r="H48" s="478">
        <f t="shared" si="7"/>
        <v>0</v>
      </c>
      <c r="I48" s="501">
        <f t="shared" si="8"/>
        <v>0</v>
      </c>
      <c r="J48" s="501"/>
      <c r="K48" s="513"/>
      <c r="L48" s="505">
        <f t="shared" si="1"/>
        <v>0</v>
      </c>
      <c r="M48" s="513"/>
      <c r="N48" s="505">
        <f t="shared" si="2"/>
        <v>0</v>
      </c>
      <c r="O48" s="505">
        <f t="shared" si="3"/>
        <v>0</v>
      </c>
      <c r="P48" s="279"/>
      <c r="R48" s="244"/>
      <c r="S48" s="244"/>
      <c r="T48" s="244"/>
      <c r="U48" s="244"/>
    </row>
    <row r="49" spans="2:21" ht="12.5">
      <c r="B49" s="145" t="str">
        <f t="shared" si="0"/>
        <v/>
      </c>
      <c r="C49" s="496">
        <f t="shared" si="9"/>
        <v>2044</v>
      </c>
      <c r="D49" s="509"/>
      <c r="E49" s="510">
        <f t="shared" si="10"/>
        <v>0</v>
      </c>
      <c r="F49" s="511">
        <f t="shared" si="5"/>
        <v>0</v>
      </c>
      <c r="G49" s="512">
        <f t="shared" si="6"/>
        <v>0</v>
      </c>
      <c r="H49" s="478">
        <f t="shared" si="7"/>
        <v>0</v>
      </c>
      <c r="I49" s="501">
        <f t="shared" si="8"/>
        <v>0</v>
      </c>
      <c r="J49" s="501"/>
      <c r="K49" s="513"/>
      <c r="L49" s="505">
        <f t="shared" si="1"/>
        <v>0</v>
      </c>
      <c r="M49" s="513"/>
      <c r="N49" s="505">
        <f t="shared" si="2"/>
        <v>0</v>
      </c>
      <c r="O49" s="505">
        <f t="shared" si="3"/>
        <v>0</v>
      </c>
      <c r="P49" s="279"/>
      <c r="R49" s="244"/>
      <c r="S49" s="244"/>
      <c r="T49" s="244"/>
      <c r="U49" s="244"/>
    </row>
    <row r="50" spans="2:21" ht="12.5">
      <c r="B50" s="145" t="str">
        <f t="shared" ref="B50:B73" si="11">IF(D50=F49,"","IU")</f>
        <v/>
      </c>
      <c r="C50" s="496">
        <f t="shared" si="9"/>
        <v>2045</v>
      </c>
      <c r="D50" s="509"/>
      <c r="E50" s="510">
        <f t="shared" si="10"/>
        <v>0</v>
      </c>
      <c r="F50" s="511">
        <f t="shared" ref="F50:F73" si="12">+D50-E50</f>
        <v>0</v>
      </c>
      <c r="G50" s="512">
        <f t="shared" si="6"/>
        <v>0</v>
      </c>
      <c r="H50" s="478">
        <f t="shared" si="7"/>
        <v>0</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11"/>
        <v/>
      </c>
      <c r="C51" s="496">
        <f t="shared" si="9"/>
        <v>2046</v>
      </c>
      <c r="D51" s="509"/>
      <c r="E51" s="510">
        <f t="shared" si="10"/>
        <v>0</v>
      </c>
      <c r="F51" s="511">
        <f t="shared" si="12"/>
        <v>0</v>
      </c>
      <c r="G51" s="512">
        <f t="shared" si="6"/>
        <v>0</v>
      </c>
      <c r="H51" s="478">
        <f t="shared" si="7"/>
        <v>0</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11"/>
        <v/>
      </c>
      <c r="C52" s="496">
        <f t="shared" si="9"/>
        <v>2047</v>
      </c>
      <c r="D52" s="509"/>
      <c r="E52" s="510">
        <f t="shared" si="10"/>
        <v>0</v>
      </c>
      <c r="F52" s="511">
        <f t="shared" si="12"/>
        <v>0</v>
      </c>
      <c r="G52" s="512">
        <f t="shared" si="6"/>
        <v>0</v>
      </c>
      <c r="H52" s="478">
        <f t="shared" si="7"/>
        <v>0</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11"/>
        <v/>
      </c>
      <c r="C53" s="496">
        <f t="shared" si="9"/>
        <v>2048</v>
      </c>
      <c r="D53" s="509"/>
      <c r="E53" s="510">
        <f t="shared" si="10"/>
        <v>0</v>
      </c>
      <c r="F53" s="511">
        <f t="shared" si="12"/>
        <v>0</v>
      </c>
      <c r="G53" s="512">
        <f t="shared" si="6"/>
        <v>0</v>
      </c>
      <c r="H53" s="478">
        <f t="shared" si="7"/>
        <v>0</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11"/>
        <v/>
      </c>
      <c r="C54" s="496">
        <f t="shared" si="9"/>
        <v>2049</v>
      </c>
      <c r="D54" s="509"/>
      <c r="E54" s="510">
        <f t="shared" si="10"/>
        <v>0</v>
      </c>
      <c r="F54" s="511">
        <f t="shared" si="12"/>
        <v>0</v>
      </c>
      <c r="G54" s="512">
        <f t="shared" si="6"/>
        <v>0</v>
      </c>
      <c r="H54" s="478">
        <f t="shared" si="7"/>
        <v>0</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11"/>
        <v/>
      </c>
      <c r="C55" s="496">
        <f t="shared" si="9"/>
        <v>2050</v>
      </c>
      <c r="D55" s="509"/>
      <c r="E55" s="510">
        <f t="shared" si="10"/>
        <v>0</v>
      </c>
      <c r="F55" s="511">
        <f t="shared" si="12"/>
        <v>0</v>
      </c>
      <c r="G55" s="512">
        <f t="shared" si="6"/>
        <v>0</v>
      </c>
      <c r="H55" s="478">
        <f t="shared" si="7"/>
        <v>0</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11"/>
        <v/>
      </c>
      <c r="C56" s="496">
        <f t="shared" si="9"/>
        <v>2051</v>
      </c>
      <c r="D56" s="509"/>
      <c r="E56" s="510">
        <f t="shared" si="10"/>
        <v>0</v>
      </c>
      <c r="F56" s="511">
        <f t="shared" si="12"/>
        <v>0</v>
      </c>
      <c r="G56" s="512">
        <f t="shared" si="6"/>
        <v>0</v>
      </c>
      <c r="H56" s="478">
        <f t="shared" si="7"/>
        <v>0</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11"/>
        <v/>
      </c>
      <c r="C57" s="496">
        <f t="shared" si="9"/>
        <v>2052</v>
      </c>
      <c r="D57" s="509"/>
      <c r="E57" s="510">
        <f t="shared" si="10"/>
        <v>0</v>
      </c>
      <c r="F57" s="511">
        <f t="shared" si="12"/>
        <v>0</v>
      </c>
      <c r="G57" s="512">
        <f t="shared" si="6"/>
        <v>0</v>
      </c>
      <c r="H57" s="478">
        <f t="shared" si="7"/>
        <v>0</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11"/>
        <v/>
      </c>
      <c r="C58" s="496">
        <f t="shared" si="9"/>
        <v>2053</v>
      </c>
      <c r="D58" s="509"/>
      <c r="E58" s="510">
        <f t="shared" si="10"/>
        <v>0</v>
      </c>
      <c r="F58" s="511">
        <f t="shared" si="12"/>
        <v>0</v>
      </c>
      <c r="G58" s="512">
        <f t="shared" si="6"/>
        <v>0</v>
      </c>
      <c r="H58" s="478">
        <f t="shared" si="7"/>
        <v>0</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11"/>
        <v/>
      </c>
      <c r="C59" s="496">
        <f t="shared" si="9"/>
        <v>2054</v>
      </c>
      <c r="D59" s="509"/>
      <c r="E59" s="510">
        <f t="shared" si="10"/>
        <v>0</v>
      </c>
      <c r="F59" s="511">
        <f t="shared" si="12"/>
        <v>0</v>
      </c>
      <c r="G59" s="512">
        <f t="shared" si="6"/>
        <v>0</v>
      </c>
      <c r="H59" s="478">
        <f t="shared" si="7"/>
        <v>0</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11"/>
        <v/>
      </c>
      <c r="C60" s="496">
        <f t="shared" si="9"/>
        <v>2055</v>
      </c>
      <c r="D60" s="509"/>
      <c r="E60" s="510">
        <f t="shared" si="10"/>
        <v>0</v>
      </c>
      <c r="F60" s="511">
        <f t="shared" si="12"/>
        <v>0</v>
      </c>
      <c r="G60" s="512">
        <f t="shared" si="6"/>
        <v>0</v>
      </c>
      <c r="H60" s="478">
        <f t="shared" si="7"/>
        <v>0</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11"/>
        <v/>
      </c>
      <c r="C61" s="496">
        <f t="shared" si="9"/>
        <v>2056</v>
      </c>
      <c r="D61" s="509"/>
      <c r="E61" s="510">
        <f t="shared" si="10"/>
        <v>0</v>
      </c>
      <c r="F61" s="511">
        <f t="shared" si="12"/>
        <v>0</v>
      </c>
      <c r="G61" s="512">
        <f t="shared" si="6"/>
        <v>0</v>
      </c>
      <c r="H61" s="478">
        <f t="shared" si="7"/>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11"/>
        <v/>
      </c>
      <c r="C62" s="496">
        <f t="shared" si="9"/>
        <v>2057</v>
      </c>
      <c r="D62" s="509"/>
      <c r="E62" s="510">
        <f t="shared" si="10"/>
        <v>0</v>
      </c>
      <c r="F62" s="511">
        <f t="shared" si="12"/>
        <v>0</v>
      </c>
      <c r="G62" s="524">
        <f t="shared" si="6"/>
        <v>0</v>
      </c>
      <c r="H62" s="478">
        <f t="shared" si="7"/>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11"/>
        <v/>
      </c>
      <c r="C63" s="496">
        <f t="shared" si="9"/>
        <v>2058</v>
      </c>
      <c r="D63" s="509"/>
      <c r="E63" s="510">
        <f t="shared" si="10"/>
        <v>0</v>
      </c>
      <c r="F63" s="511">
        <f t="shared" si="12"/>
        <v>0</v>
      </c>
      <c r="G63" s="524">
        <f t="shared" si="6"/>
        <v>0</v>
      </c>
      <c r="H63" s="478">
        <f t="shared" si="7"/>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11"/>
        <v/>
      </c>
      <c r="C64" s="496">
        <f t="shared" si="9"/>
        <v>2059</v>
      </c>
      <c r="D64" s="509"/>
      <c r="E64" s="510">
        <f t="shared" si="10"/>
        <v>0</v>
      </c>
      <c r="F64" s="511">
        <f t="shared" si="12"/>
        <v>0</v>
      </c>
      <c r="G64" s="524">
        <f t="shared" si="6"/>
        <v>0</v>
      </c>
      <c r="H64" s="478">
        <f t="shared" si="7"/>
        <v>0</v>
      </c>
      <c r="I64" s="501">
        <f t="shared" si="13"/>
        <v>0</v>
      </c>
      <c r="J64" s="501"/>
      <c r="K64" s="513"/>
      <c r="L64" s="505">
        <f t="shared" si="14"/>
        <v>0</v>
      </c>
      <c r="M64" s="513"/>
      <c r="N64" s="505">
        <f t="shared" si="15"/>
        <v>0</v>
      </c>
      <c r="O64" s="505">
        <f t="shared" si="16"/>
        <v>0</v>
      </c>
      <c r="P64" s="279"/>
      <c r="R64" s="244"/>
      <c r="S64" s="244"/>
      <c r="T64" s="244"/>
      <c r="U64" s="244"/>
    </row>
    <row r="65" spans="2:21" ht="12.5">
      <c r="B65" s="145" t="str">
        <f t="shared" si="11"/>
        <v/>
      </c>
      <c r="C65" s="496">
        <f t="shared" si="9"/>
        <v>2060</v>
      </c>
      <c r="D65" s="509"/>
      <c r="E65" s="510">
        <f t="shared" si="10"/>
        <v>0</v>
      </c>
      <c r="F65" s="511">
        <f t="shared" si="12"/>
        <v>0</v>
      </c>
      <c r="G65" s="524">
        <f t="shared" si="6"/>
        <v>0</v>
      </c>
      <c r="H65" s="478">
        <f t="shared" si="7"/>
        <v>0</v>
      </c>
      <c r="I65" s="501">
        <f t="shared" si="13"/>
        <v>0</v>
      </c>
      <c r="J65" s="501"/>
      <c r="K65" s="513"/>
      <c r="L65" s="505">
        <f t="shared" si="14"/>
        <v>0</v>
      </c>
      <c r="M65" s="513"/>
      <c r="N65" s="505">
        <f t="shared" si="15"/>
        <v>0</v>
      </c>
      <c r="O65" s="505">
        <f t="shared" si="16"/>
        <v>0</v>
      </c>
      <c r="P65" s="279"/>
      <c r="R65" s="244"/>
      <c r="S65" s="244"/>
      <c r="T65" s="244"/>
      <c r="U65" s="244"/>
    </row>
    <row r="66" spans="2:21" ht="12.5">
      <c r="B66" s="145" t="str">
        <f t="shared" si="11"/>
        <v/>
      </c>
      <c r="C66" s="496">
        <f t="shared" si="9"/>
        <v>2061</v>
      </c>
      <c r="D66" s="509"/>
      <c r="E66" s="510">
        <f t="shared" si="10"/>
        <v>0</v>
      </c>
      <c r="F66" s="511">
        <f t="shared" si="12"/>
        <v>0</v>
      </c>
      <c r="G66" s="524">
        <f t="shared" si="6"/>
        <v>0</v>
      </c>
      <c r="H66" s="478">
        <f t="shared" si="7"/>
        <v>0</v>
      </c>
      <c r="I66" s="501">
        <f t="shared" si="13"/>
        <v>0</v>
      </c>
      <c r="J66" s="501"/>
      <c r="K66" s="513"/>
      <c r="L66" s="505">
        <f t="shared" si="14"/>
        <v>0</v>
      </c>
      <c r="M66" s="513"/>
      <c r="N66" s="505">
        <f t="shared" si="15"/>
        <v>0</v>
      </c>
      <c r="O66" s="505">
        <f t="shared" si="16"/>
        <v>0</v>
      </c>
      <c r="P66" s="279"/>
      <c r="R66" s="244"/>
      <c r="S66" s="244"/>
      <c r="T66" s="244"/>
      <c r="U66" s="244"/>
    </row>
    <row r="67" spans="2:21" ht="12.5">
      <c r="B67" s="145" t="str">
        <f t="shared" si="11"/>
        <v/>
      </c>
      <c r="C67" s="496">
        <f t="shared" si="9"/>
        <v>2062</v>
      </c>
      <c r="D67" s="509"/>
      <c r="E67" s="510">
        <f t="shared" si="10"/>
        <v>0</v>
      </c>
      <c r="F67" s="511">
        <f t="shared" si="12"/>
        <v>0</v>
      </c>
      <c r="G67" s="524">
        <f t="shared" si="6"/>
        <v>0</v>
      </c>
      <c r="H67" s="478">
        <f t="shared" si="7"/>
        <v>0</v>
      </c>
      <c r="I67" s="501">
        <f t="shared" si="13"/>
        <v>0</v>
      </c>
      <c r="J67" s="501"/>
      <c r="K67" s="513"/>
      <c r="L67" s="505">
        <f t="shared" si="14"/>
        <v>0</v>
      </c>
      <c r="M67" s="513"/>
      <c r="N67" s="505">
        <f t="shared" si="15"/>
        <v>0</v>
      </c>
      <c r="O67" s="505">
        <f t="shared" si="16"/>
        <v>0</v>
      </c>
      <c r="P67" s="279"/>
      <c r="R67" s="244"/>
      <c r="S67" s="244"/>
      <c r="T67" s="244"/>
      <c r="U67" s="244"/>
    </row>
    <row r="68" spans="2:21" ht="12.5">
      <c r="B68" s="145" t="str">
        <f t="shared" si="11"/>
        <v/>
      </c>
      <c r="C68" s="496">
        <f t="shared" si="9"/>
        <v>2063</v>
      </c>
      <c r="D68" s="509"/>
      <c r="E68" s="510">
        <f t="shared" si="10"/>
        <v>0</v>
      </c>
      <c r="F68" s="511">
        <f t="shared" si="12"/>
        <v>0</v>
      </c>
      <c r="G68" s="524">
        <f t="shared" si="6"/>
        <v>0</v>
      </c>
      <c r="H68" s="478">
        <f t="shared" si="7"/>
        <v>0</v>
      </c>
      <c r="I68" s="501">
        <f t="shared" si="13"/>
        <v>0</v>
      </c>
      <c r="J68" s="501"/>
      <c r="K68" s="513"/>
      <c r="L68" s="505">
        <f t="shared" si="14"/>
        <v>0</v>
      </c>
      <c r="M68" s="513"/>
      <c r="N68" s="505">
        <f t="shared" si="15"/>
        <v>0</v>
      </c>
      <c r="O68" s="505">
        <f t="shared" si="16"/>
        <v>0</v>
      </c>
      <c r="P68" s="279"/>
      <c r="R68" s="244"/>
      <c r="S68" s="244"/>
      <c r="T68" s="244"/>
      <c r="U68" s="244"/>
    </row>
    <row r="69" spans="2:21" ht="12.5">
      <c r="B69" s="145" t="str">
        <f t="shared" si="11"/>
        <v/>
      </c>
      <c r="C69" s="496">
        <f t="shared" si="9"/>
        <v>2064</v>
      </c>
      <c r="D69" s="509"/>
      <c r="E69" s="510">
        <f t="shared" si="10"/>
        <v>0</v>
      </c>
      <c r="F69" s="511">
        <f t="shared" si="12"/>
        <v>0</v>
      </c>
      <c r="G69" s="524">
        <f t="shared" si="6"/>
        <v>0</v>
      </c>
      <c r="H69" s="478">
        <f t="shared" si="7"/>
        <v>0</v>
      </c>
      <c r="I69" s="501">
        <f t="shared" si="13"/>
        <v>0</v>
      </c>
      <c r="J69" s="501"/>
      <c r="K69" s="513"/>
      <c r="L69" s="505">
        <f t="shared" si="14"/>
        <v>0</v>
      </c>
      <c r="M69" s="513"/>
      <c r="N69" s="505">
        <f t="shared" si="15"/>
        <v>0</v>
      </c>
      <c r="O69" s="505">
        <f t="shared" si="16"/>
        <v>0</v>
      </c>
      <c r="P69" s="279"/>
      <c r="R69" s="244"/>
      <c r="S69" s="244"/>
      <c r="T69" s="244"/>
      <c r="U69" s="244"/>
    </row>
    <row r="70" spans="2:21" ht="12.5">
      <c r="B70" s="145" t="str">
        <f t="shared" si="11"/>
        <v/>
      </c>
      <c r="C70" s="496">
        <f t="shared" si="9"/>
        <v>2065</v>
      </c>
      <c r="D70" s="509"/>
      <c r="E70" s="510">
        <f t="shared" si="10"/>
        <v>0</v>
      </c>
      <c r="F70" s="511">
        <f t="shared" si="12"/>
        <v>0</v>
      </c>
      <c r="G70" s="524">
        <f t="shared" si="6"/>
        <v>0</v>
      </c>
      <c r="H70" s="478">
        <f t="shared" si="7"/>
        <v>0</v>
      </c>
      <c r="I70" s="501">
        <f t="shared" si="13"/>
        <v>0</v>
      </c>
      <c r="J70" s="501"/>
      <c r="K70" s="513"/>
      <c r="L70" s="505">
        <f t="shared" si="14"/>
        <v>0</v>
      </c>
      <c r="M70" s="513"/>
      <c r="N70" s="505">
        <f t="shared" si="15"/>
        <v>0</v>
      </c>
      <c r="O70" s="505">
        <f t="shared" si="16"/>
        <v>0</v>
      </c>
      <c r="P70" s="279"/>
      <c r="R70" s="244"/>
      <c r="S70" s="244"/>
      <c r="T70" s="244"/>
      <c r="U70" s="244"/>
    </row>
    <row r="71" spans="2:21" ht="12.5">
      <c r="B71" s="145" t="str">
        <f t="shared" si="11"/>
        <v/>
      </c>
      <c r="C71" s="496">
        <f t="shared" si="9"/>
        <v>2066</v>
      </c>
      <c r="D71" s="509"/>
      <c r="E71" s="510">
        <f t="shared" si="10"/>
        <v>0</v>
      </c>
      <c r="F71" s="511">
        <f t="shared" si="12"/>
        <v>0</v>
      </c>
      <c r="G71" s="524">
        <f t="shared" si="6"/>
        <v>0</v>
      </c>
      <c r="H71" s="478">
        <f t="shared" si="7"/>
        <v>0</v>
      </c>
      <c r="I71" s="501">
        <f t="shared" si="13"/>
        <v>0</v>
      </c>
      <c r="J71" s="501"/>
      <c r="K71" s="513"/>
      <c r="L71" s="505">
        <f t="shared" si="14"/>
        <v>0</v>
      </c>
      <c r="M71" s="513"/>
      <c r="N71" s="505">
        <f t="shared" si="15"/>
        <v>0</v>
      </c>
      <c r="O71" s="505">
        <f t="shared" si="16"/>
        <v>0</v>
      </c>
      <c r="P71" s="279"/>
      <c r="R71" s="244"/>
      <c r="S71" s="244"/>
      <c r="T71" s="244"/>
      <c r="U71" s="244"/>
    </row>
    <row r="72" spans="2:21" ht="12.5">
      <c r="B72" s="145" t="str">
        <f t="shared" si="11"/>
        <v/>
      </c>
      <c r="C72" s="496">
        <f t="shared" si="9"/>
        <v>2067</v>
      </c>
      <c r="D72" s="509"/>
      <c r="E72" s="510">
        <f t="shared" si="10"/>
        <v>0</v>
      </c>
      <c r="F72" s="511">
        <f t="shared" si="12"/>
        <v>0</v>
      </c>
      <c r="G72" s="524">
        <f t="shared" si="6"/>
        <v>0</v>
      </c>
      <c r="H72" s="478">
        <f t="shared" si="7"/>
        <v>0</v>
      </c>
      <c r="I72" s="501">
        <f t="shared" si="13"/>
        <v>0</v>
      </c>
      <c r="J72" s="501"/>
      <c r="K72" s="513"/>
      <c r="L72" s="505">
        <f t="shared" si="14"/>
        <v>0</v>
      </c>
      <c r="M72" s="513"/>
      <c r="N72" s="505">
        <f t="shared" si="15"/>
        <v>0</v>
      </c>
      <c r="O72" s="505">
        <f t="shared" si="16"/>
        <v>0</v>
      </c>
      <c r="P72" s="279"/>
      <c r="R72" s="244"/>
      <c r="S72" s="244"/>
      <c r="T72" s="244"/>
      <c r="U72" s="244"/>
    </row>
    <row r="73" spans="2:21" ht="13" thickBot="1">
      <c r="B73" s="145" t="str">
        <f t="shared" si="11"/>
        <v/>
      </c>
      <c r="C73" s="525">
        <f t="shared" si="9"/>
        <v>2068</v>
      </c>
      <c r="D73" s="526"/>
      <c r="E73" s="527">
        <f t="shared" si="10"/>
        <v>0</v>
      </c>
      <c r="F73" s="528">
        <f t="shared" si="12"/>
        <v>0</v>
      </c>
      <c r="G73" s="529">
        <f t="shared" si="6"/>
        <v>0</v>
      </c>
      <c r="H73" s="459">
        <f t="shared" si="7"/>
        <v>0</v>
      </c>
      <c r="I73" s="530">
        <f t="shared" si="13"/>
        <v>0</v>
      </c>
      <c r="J73" s="501"/>
      <c r="K73" s="531"/>
      <c r="L73" s="532">
        <f t="shared" si="14"/>
        <v>0</v>
      </c>
      <c r="M73" s="531"/>
      <c r="N73" s="532">
        <f t="shared" si="15"/>
        <v>0</v>
      </c>
      <c r="O73" s="532">
        <f t="shared" si="16"/>
        <v>0</v>
      </c>
      <c r="P73" s="279"/>
      <c r="R73" s="244"/>
      <c r="S73" s="244"/>
      <c r="T73" s="244"/>
      <c r="U73" s="244"/>
    </row>
    <row r="74" spans="2:21" ht="12.5">
      <c r="C74" s="350" t="s">
        <v>75</v>
      </c>
      <c r="D74" s="295"/>
      <c r="E74" s="295">
        <f>SUM(E17:E73)</f>
        <v>45573.039110189922</v>
      </c>
      <c r="F74" s="295"/>
      <c r="G74" s="295">
        <f>SUM(G17:G73)</f>
        <v>423078.95453720703</v>
      </c>
      <c r="H74" s="295">
        <f>SUM(H17:H73)</f>
        <v>423078.95453720703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5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Install 345kV terminal at Valliant***</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05" t="s">
        <v>210</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TP2007167</v>
      </c>
      <c r="E92" s="559"/>
      <c r="F92" s="559"/>
      <c r="G92" s="559"/>
      <c r="H92" s="559"/>
      <c r="I92" s="559"/>
      <c r="J92" s="559"/>
      <c r="K92" s="561"/>
      <c r="P92" s="469"/>
      <c r="Q92" s="244"/>
      <c r="R92" s="244"/>
      <c r="S92" s="244"/>
      <c r="T92" s="244"/>
      <c r="U92" s="244"/>
    </row>
    <row r="93" spans="1:21" ht="13">
      <c r="C93" s="473" t="s">
        <v>49</v>
      </c>
      <c r="D93" s="583">
        <f>IF(D11=I10,0,D10)</f>
        <v>0</v>
      </c>
      <c r="E93" s="249" t="s">
        <v>84</v>
      </c>
      <c r="H93" s="409"/>
      <c r="I93" s="409"/>
      <c r="J93" s="472">
        <f>+'OKT.WS.G.BPU.ATRR.True-up'!M16</f>
        <v>2020</v>
      </c>
      <c r="K93" s="468"/>
      <c r="L93" s="295" t="s">
        <v>85</v>
      </c>
      <c r="P93" s="279"/>
      <c r="Q93" s="244"/>
      <c r="R93" s="244"/>
      <c r="S93" s="244"/>
      <c r="T93" s="244"/>
      <c r="U93" s="244"/>
    </row>
    <row r="94" spans="1:21" ht="12.5">
      <c r="C94" s="473" t="s">
        <v>52</v>
      </c>
      <c r="D94" s="562">
        <f>IF(D11=I10,"",D11)</f>
        <v>2012</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4</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7">IF(D100=F99,"","IU")</f>
        <v>IU</v>
      </c>
      <c r="C100" s="496">
        <f>IF(D94= "","-",D94)</f>
        <v>2012</v>
      </c>
      <c r="D100" s="350">
        <f>IF(D94=C100,0,IF(D93&lt;100000,0,D93))</f>
        <v>0</v>
      </c>
      <c r="E100" s="512">
        <f>IF(OR(D11=I10,D93&lt;100000),0,J97/12*(12-D95))</f>
        <v>0</v>
      </c>
      <c r="F100" s="511">
        <f>IF(D94=C100,+D93-E100,+D100-E100)</f>
        <v>0</v>
      </c>
      <c r="G100" s="606">
        <f t="shared" ref="G100:G131" si="18">+(F100+D100)/2</f>
        <v>0</v>
      </c>
      <c r="H100" s="606">
        <f t="shared" ref="H100:H131" si="19">+J$95*G100+E100</f>
        <v>0</v>
      </c>
      <c r="I100" s="606">
        <f t="shared" ref="I100:I131" si="20">+J$96*G100+E100</f>
        <v>0</v>
      </c>
      <c r="J100" s="505">
        <f t="shared" ref="J100:J131" si="21">+I100-H100</f>
        <v>0</v>
      </c>
      <c r="K100" s="505"/>
      <c r="L100" s="607"/>
      <c r="M100" s="504">
        <f t="shared" ref="M100:M131" si="22">IF(L100&lt;&gt;0,+H100-L100,0)</f>
        <v>0</v>
      </c>
      <c r="N100" s="607"/>
      <c r="O100" s="504">
        <f t="shared" ref="O100:O131" si="23">IF(N100&lt;&gt;0,+I100-N100,0)</f>
        <v>0</v>
      </c>
      <c r="P100" s="504">
        <f t="shared" ref="P100:P131" si="24">+O100-M100</f>
        <v>0</v>
      </c>
      <c r="Q100" s="244"/>
      <c r="R100" s="244"/>
      <c r="S100" s="244"/>
      <c r="T100" s="244"/>
      <c r="U100" s="244"/>
    </row>
    <row r="101" spans="1:21" ht="12.5">
      <c r="B101" s="145" t="str">
        <f t="shared" si="17"/>
        <v/>
      </c>
      <c r="C101" s="496">
        <f>IF(D94="","-",+C100+1)</f>
        <v>2013</v>
      </c>
      <c r="D101" s="350">
        <f>IF(F100+SUM(E$100:E100)=D$93,F100,D$93-SUM(E$100:E100))</f>
        <v>0</v>
      </c>
      <c r="E101" s="510">
        <f>IF(+J97&lt;F100,J97,D101)</f>
        <v>0</v>
      </c>
      <c r="F101" s="511">
        <f t="shared" ref="F101:F132" si="25">+D101-E101</f>
        <v>0</v>
      </c>
      <c r="G101" s="511">
        <f t="shared" si="18"/>
        <v>0</v>
      </c>
      <c r="H101" s="524">
        <f t="shared" si="19"/>
        <v>0</v>
      </c>
      <c r="I101" s="573">
        <f t="shared" si="20"/>
        <v>0</v>
      </c>
      <c r="J101" s="505">
        <f t="shared" si="21"/>
        <v>0</v>
      </c>
      <c r="K101" s="505"/>
      <c r="L101" s="513"/>
      <c r="M101" s="505">
        <f t="shared" si="22"/>
        <v>0</v>
      </c>
      <c r="N101" s="513"/>
      <c r="O101" s="505">
        <f t="shared" si="23"/>
        <v>0</v>
      </c>
      <c r="P101" s="505">
        <f t="shared" si="24"/>
        <v>0</v>
      </c>
      <c r="Q101" s="244"/>
      <c r="R101" s="244"/>
      <c r="S101" s="244"/>
      <c r="T101" s="244"/>
      <c r="U101" s="244"/>
    </row>
    <row r="102" spans="1:21" ht="12.5">
      <c r="B102" s="145" t="str">
        <f t="shared" si="17"/>
        <v/>
      </c>
      <c r="C102" s="496">
        <f>IF(D94="","-",+C101+1)</f>
        <v>2014</v>
      </c>
      <c r="D102" s="350">
        <f>IF(F101+SUM(E$100:E101)=D$93,F101,D$93-SUM(E$100:E101))</f>
        <v>0</v>
      </c>
      <c r="E102" s="510">
        <f>IF(+J97&lt;F101,J97,D102)</f>
        <v>0</v>
      </c>
      <c r="F102" s="511">
        <f t="shared" si="25"/>
        <v>0</v>
      </c>
      <c r="G102" s="511">
        <f t="shared" si="18"/>
        <v>0</v>
      </c>
      <c r="H102" s="524">
        <f t="shared" si="19"/>
        <v>0</v>
      </c>
      <c r="I102" s="573">
        <f t="shared" si="20"/>
        <v>0</v>
      </c>
      <c r="J102" s="505">
        <f t="shared" si="21"/>
        <v>0</v>
      </c>
      <c r="K102" s="505"/>
      <c r="L102" s="513"/>
      <c r="M102" s="505">
        <f t="shared" si="22"/>
        <v>0</v>
      </c>
      <c r="N102" s="513"/>
      <c r="O102" s="505">
        <f t="shared" si="23"/>
        <v>0</v>
      </c>
      <c r="P102" s="505">
        <f t="shared" si="24"/>
        <v>0</v>
      </c>
      <c r="Q102" s="244"/>
      <c r="R102" s="244"/>
      <c r="S102" s="244"/>
      <c r="T102" s="244"/>
      <c r="U102" s="244"/>
    </row>
    <row r="103" spans="1:21" ht="12.5">
      <c r="B103" s="145" t="str">
        <f t="shared" si="17"/>
        <v/>
      </c>
      <c r="C103" s="496">
        <f>IF(D94="","-",+C102+1)</f>
        <v>2015</v>
      </c>
      <c r="D103" s="350">
        <f>IF(F102+SUM(E$100:E102)=D$93,F102,D$93-SUM(E$100:E102))</f>
        <v>0</v>
      </c>
      <c r="E103" s="510">
        <f>IF(+J97&lt;F102,J97,D103)</f>
        <v>0</v>
      </c>
      <c r="F103" s="511">
        <f t="shared" si="25"/>
        <v>0</v>
      </c>
      <c r="G103" s="511">
        <f t="shared" si="18"/>
        <v>0</v>
      </c>
      <c r="H103" s="524">
        <f t="shared" si="19"/>
        <v>0</v>
      </c>
      <c r="I103" s="573">
        <f t="shared" si="20"/>
        <v>0</v>
      </c>
      <c r="J103" s="505">
        <f t="shared" si="21"/>
        <v>0</v>
      </c>
      <c r="K103" s="505"/>
      <c r="L103" s="513"/>
      <c r="M103" s="505">
        <f t="shared" si="22"/>
        <v>0</v>
      </c>
      <c r="N103" s="513"/>
      <c r="O103" s="505">
        <f t="shared" si="23"/>
        <v>0</v>
      </c>
      <c r="P103" s="505">
        <f t="shared" si="24"/>
        <v>0</v>
      </c>
      <c r="Q103" s="244"/>
      <c r="R103" s="244"/>
      <c r="S103" s="244"/>
      <c r="T103" s="244"/>
      <c r="U103" s="244"/>
    </row>
    <row r="104" spans="1:21" ht="12.5">
      <c r="B104" s="145" t="str">
        <f t="shared" si="17"/>
        <v/>
      </c>
      <c r="C104" s="496">
        <f>IF(D94="","-",+C103+1)</f>
        <v>2016</v>
      </c>
      <c r="D104" s="350">
        <f>IF(F103+SUM(E$100:E103)=D$93,F103,D$93-SUM(E$100:E103))</f>
        <v>0</v>
      </c>
      <c r="E104" s="510">
        <f>IF(+J97&lt;F103,J97,D104)</f>
        <v>0</v>
      </c>
      <c r="F104" s="511">
        <f t="shared" si="25"/>
        <v>0</v>
      </c>
      <c r="G104" s="511">
        <f t="shared" si="18"/>
        <v>0</v>
      </c>
      <c r="H104" s="524">
        <f t="shared" si="19"/>
        <v>0</v>
      </c>
      <c r="I104" s="573">
        <f t="shared" si="20"/>
        <v>0</v>
      </c>
      <c r="J104" s="505">
        <f t="shared" si="21"/>
        <v>0</v>
      </c>
      <c r="K104" s="505"/>
      <c r="L104" s="513"/>
      <c r="M104" s="505">
        <f t="shared" si="22"/>
        <v>0</v>
      </c>
      <c r="N104" s="513"/>
      <c r="O104" s="505">
        <f t="shared" si="23"/>
        <v>0</v>
      </c>
      <c r="P104" s="505">
        <f t="shared" si="24"/>
        <v>0</v>
      </c>
      <c r="Q104" s="244"/>
      <c r="R104" s="244"/>
      <c r="S104" s="244"/>
      <c r="T104" s="244"/>
      <c r="U104" s="244"/>
    </row>
    <row r="105" spans="1:21" ht="12.5">
      <c r="B105" s="145" t="str">
        <f t="shared" si="17"/>
        <v/>
      </c>
      <c r="C105" s="496">
        <f>IF(D94="","-",+C104+1)</f>
        <v>2017</v>
      </c>
      <c r="D105" s="350">
        <f>IF(F104+SUM(E$100:E104)=D$93,F104,D$93-SUM(E$100:E104))</f>
        <v>0</v>
      </c>
      <c r="E105" s="510">
        <f>IF(+J97&lt;F104,J97,D105)</f>
        <v>0</v>
      </c>
      <c r="F105" s="511">
        <f t="shared" si="25"/>
        <v>0</v>
      </c>
      <c r="G105" s="511">
        <f t="shared" si="18"/>
        <v>0</v>
      </c>
      <c r="H105" s="524">
        <f t="shared" si="19"/>
        <v>0</v>
      </c>
      <c r="I105" s="573">
        <f t="shared" si="20"/>
        <v>0</v>
      </c>
      <c r="J105" s="505">
        <f t="shared" si="21"/>
        <v>0</v>
      </c>
      <c r="K105" s="505"/>
      <c r="L105" s="513"/>
      <c r="M105" s="505">
        <f t="shared" si="22"/>
        <v>0</v>
      </c>
      <c r="N105" s="513"/>
      <c r="O105" s="505">
        <f t="shared" si="23"/>
        <v>0</v>
      </c>
      <c r="P105" s="505">
        <f t="shared" si="24"/>
        <v>0</v>
      </c>
      <c r="Q105" s="244"/>
      <c r="R105" s="244"/>
      <c r="S105" s="244"/>
      <c r="T105" s="244"/>
      <c r="U105" s="244"/>
    </row>
    <row r="106" spans="1:21" ht="12.5">
      <c r="B106" s="145" t="str">
        <f t="shared" si="17"/>
        <v/>
      </c>
      <c r="C106" s="496">
        <f>IF(D94="","-",+C105+1)</f>
        <v>2018</v>
      </c>
      <c r="D106" s="350">
        <f>IF(F105+SUM(E$100:E105)=D$93,F105,D$93-SUM(E$100:E105))</f>
        <v>0</v>
      </c>
      <c r="E106" s="510">
        <f>IF(+J97&lt;F105,J97,D106)</f>
        <v>0</v>
      </c>
      <c r="F106" s="511">
        <f t="shared" si="25"/>
        <v>0</v>
      </c>
      <c r="G106" s="511">
        <f t="shared" si="18"/>
        <v>0</v>
      </c>
      <c r="H106" s="524">
        <f t="shared" si="19"/>
        <v>0</v>
      </c>
      <c r="I106" s="573">
        <f t="shared" si="20"/>
        <v>0</v>
      </c>
      <c r="J106" s="505">
        <f t="shared" si="21"/>
        <v>0</v>
      </c>
      <c r="K106" s="505"/>
      <c r="L106" s="513"/>
      <c r="M106" s="505">
        <f t="shared" si="22"/>
        <v>0</v>
      </c>
      <c r="N106" s="513"/>
      <c r="O106" s="505">
        <f t="shared" si="23"/>
        <v>0</v>
      </c>
      <c r="P106" s="505">
        <f t="shared" si="24"/>
        <v>0</v>
      </c>
      <c r="Q106" s="244"/>
      <c r="R106" s="244"/>
      <c r="S106" s="244"/>
      <c r="T106" s="244"/>
      <c r="U106" s="244"/>
    </row>
    <row r="107" spans="1:21" ht="12.5">
      <c r="B107" s="145" t="str">
        <f t="shared" si="17"/>
        <v/>
      </c>
      <c r="C107" s="496">
        <f>IF(D94="","-",+C106+1)</f>
        <v>2019</v>
      </c>
      <c r="D107" s="350">
        <f>IF(F106+SUM(E$100:E106)=D$93,F106,D$93-SUM(E$100:E106))</f>
        <v>0</v>
      </c>
      <c r="E107" s="510">
        <f>IF(+J97&lt;F106,J97,D107)</f>
        <v>0</v>
      </c>
      <c r="F107" s="511">
        <f t="shared" si="25"/>
        <v>0</v>
      </c>
      <c r="G107" s="511">
        <f t="shared" si="18"/>
        <v>0</v>
      </c>
      <c r="H107" s="524">
        <f t="shared" si="19"/>
        <v>0</v>
      </c>
      <c r="I107" s="573">
        <f t="shared" si="20"/>
        <v>0</v>
      </c>
      <c r="J107" s="505">
        <f t="shared" si="21"/>
        <v>0</v>
      </c>
      <c r="K107" s="505"/>
      <c r="L107" s="513"/>
      <c r="M107" s="505">
        <f t="shared" si="22"/>
        <v>0</v>
      </c>
      <c r="N107" s="513"/>
      <c r="O107" s="505">
        <f t="shared" si="23"/>
        <v>0</v>
      </c>
      <c r="P107" s="505">
        <f t="shared" si="24"/>
        <v>0</v>
      </c>
      <c r="Q107" s="244"/>
      <c r="R107" s="244"/>
      <c r="S107" s="244"/>
      <c r="T107" s="244"/>
      <c r="U107" s="244"/>
    </row>
    <row r="108" spans="1:21" ht="12.5">
      <c r="B108" s="145" t="str">
        <f t="shared" si="17"/>
        <v/>
      </c>
      <c r="C108" s="496">
        <f>IF(D94="","-",+C107+1)</f>
        <v>2020</v>
      </c>
      <c r="D108" s="350">
        <f>IF(F107+SUM(E$100:E107)=D$93,F107,D$93-SUM(E$100:E107))</f>
        <v>0</v>
      </c>
      <c r="E108" s="510">
        <f>IF(+J97&lt;F107,J97,D108)</f>
        <v>0</v>
      </c>
      <c r="F108" s="511">
        <f t="shared" si="25"/>
        <v>0</v>
      </c>
      <c r="G108" s="511">
        <f t="shared" si="18"/>
        <v>0</v>
      </c>
      <c r="H108" s="524">
        <f t="shared" si="19"/>
        <v>0</v>
      </c>
      <c r="I108" s="573">
        <f t="shared" si="20"/>
        <v>0</v>
      </c>
      <c r="J108" s="505">
        <f t="shared" si="21"/>
        <v>0</v>
      </c>
      <c r="K108" s="505"/>
      <c r="L108" s="513"/>
      <c r="M108" s="505">
        <f t="shared" si="22"/>
        <v>0</v>
      </c>
      <c r="N108" s="513"/>
      <c r="O108" s="505">
        <f t="shared" si="23"/>
        <v>0</v>
      </c>
      <c r="P108" s="505">
        <f t="shared" si="24"/>
        <v>0</v>
      </c>
      <c r="Q108" s="244"/>
      <c r="R108" s="244"/>
      <c r="S108" s="244"/>
      <c r="T108" s="244"/>
      <c r="U108" s="244"/>
    </row>
    <row r="109" spans="1:21" ht="12.5">
      <c r="B109" s="145" t="str">
        <f t="shared" si="17"/>
        <v/>
      </c>
      <c r="C109" s="496">
        <f>IF(D94="","-",+C108+1)</f>
        <v>2021</v>
      </c>
      <c r="D109" s="350">
        <f>IF(F108+SUM(E$100:E108)=D$93,F108,D$93-SUM(E$100:E108))</f>
        <v>0</v>
      </c>
      <c r="E109" s="510">
        <f>IF(+J97&lt;F108,J97,D109)</f>
        <v>0</v>
      </c>
      <c r="F109" s="511">
        <f t="shared" si="25"/>
        <v>0</v>
      </c>
      <c r="G109" s="511">
        <f t="shared" si="18"/>
        <v>0</v>
      </c>
      <c r="H109" s="524">
        <f t="shared" si="19"/>
        <v>0</v>
      </c>
      <c r="I109" s="573">
        <f t="shared" si="20"/>
        <v>0</v>
      </c>
      <c r="J109" s="505">
        <f t="shared" si="21"/>
        <v>0</v>
      </c>
      <c r="K109" s="505"/>
      <c r="L109" s="513"/>
      <c r="M109" s="505">
        <f t="shared" si="22"/>
        <v>0</v>
      </c>
      <c r="N109" s="513"/>
      <c r="O109" s="505">
        <f t="shared" si="23"/>
        <v>0</v>
      </c>
      <c r="P109" s="505">
        <f t="shared" si="24"/>
        <v>0</v>
      </c>
      <c r="Q109" s="244"/>
      <c r="R109" s="244"/>
      <c r="S109" s="244"/>
      <c r="T109" s="244"/>
      <c r="U109" s="244"/>
    </row>
    <row r="110" spans="1:21" ht="12.5">
      <c r="B110" s="145" t="str">
        <f t="shared" si="17"/>
        <v/>
      </c>
      <c r="C110" s="496">
        <f>IF(D94="","-",+C109+1)</f>
        <v>2022</v>
      </c>
      <c r="D110" s="350">
        <f>IF(F109+SUM(E$100:E109)=D$93,F109,D$93-SUM(E$100:E109))</f>
        <v>0</v>
      </c>
      <c r="E110" s="510">
        <f>IF(+J97&lt;F109,J97,D110)</f>
        <v>0</v>
      </c>
      <c r="F110" s="511">
        <f t="shared" si="25"/>
        <v>0</v>
      </c>
      <c r="G110" s="511">
        <f t="shared" si="18"/>
        <v>0</v>
      </c>
      <c r="H110" s="524">
        <f t="shared" si="19"/>
        <v>0</v>
      </c>
      <c r="I110" s="573">
        <f t="shared" si="20"/>
        <v>0</v>
      </c>
      <c r="J110" s="505">
        <f t="shared" si="21"/>
        <v>0</v>
      </c>
      <c r="K110" s="505"/>
      <c r="L110" s="513"/>
      <c r="M110" s="505">
        <f t="shared" si="22"/>
        <v>0</v>
      </c>
      <c r="N110" s="513"/>
      <c r="O110" s="505">
        <f t="shared" si="23"/>
        <v>0</v>
      </c>
      <c r="P110" s="505">
        <f t="shared" si="24"/>
        <v>0</v>
      </c>
      <c r="Q110" s="244"/>
      <c r="R110" s="244"/>
      <c r="S110" s="244"/>
      <c r="T110" s="244"/>
      <c r="U110" s="244"/>
    </row>
    <row r="111" spans="1:21" ht="12.5">
      <c r="B111" s="145" t="str">
        <f t="shared" si="17"/>
        <v/>
      </c>
      <c r="C111" s="496">
        <f>IF(D94="","-",+C110+1)</f>
        <v>2023</v>
      </c>
      <c r="D111" s="350">
        <f>IF(F110+SUM(E$100:E110)=D$93,F110,D$93-SUM(E$100:E110))</f>
        <v>0</v>
      </c>
      <c r="E111" s="510">
        <f>IF(+J97&lt;F110,J97,D111)</f>
        <v>0</v>
      </c>
      <c r="F111" s="511">
        <f t="shared" si="25"/>
        <v>0</v>
      </c>
      <c r="G111" s="511">
        <f t="shared" si="18"/>
        <v>0</v>
      </c>
      <c r="H111" s="524">
        <f t="shared" si="19"/>
        <v>0</v>
      </c>
      <c r="I111" s="573">
        <f t="shared" si="20"/>
        <v>0</v>
      </c>
      <c r="J111" s="505">
        <f t="shared" si="21"/>
        <v>0</v>
      </c>
      <c r="K111" s="505"/>
      <c r="L111" s="513"/>
      <c r="M111" s="505">
        <f t="shared" si="22"/>
        <v>0</v>
      </c>
      <c r="N111" s="513"/>
      <c r="O111" s="505">
        <f t="shared" si="23"/>
        <v>0</v>
      </c>
      <c r="P111" s="505">
        <f t="shared" si="24"/>
        <v>0</v>
      </c>
      <c r="Q111" s="244"/>
      <c r="R111" s="244"/>
      <c r="S111" s="244"/>
      <c r="T111" s="244"/>
      <c r="U111" s="244"/>
    </row>
    <row r="112" spans="1:21" ht="12.5">
      <c r="B112" s="145" t="str">
        <f t="shared" si="17"/>
        <v/>
      </c>
      <c r="C112" s="496">
        <f>IF(D94="","-",+C111+1)</f>
        <v>2024</v>
      </c>
      <c r="D112" s="350">
        <f>IF(F111+SUM(E$100:E111)=D$93,F111,D$93-SUM(E$100:E111))</f>
        <v>0</v>
      </c>
      <c r="E112" s="510">
        <f>IF(+J97&lt;F111,J97,D112)</f>
        <v>0</v>
      </c>
      <c r="F112" s="511">
        <f t="shared" si="25"/>
        <v>0</v>
      </c>
      <c r="G112" s="511">
        <f t="shared" si="18"/>
        <v>0</v>
      </c>
      <c r="H112" s="524">
        <f t="shared" si="19"/>
        <v>0</v>
      </c>
      <c r="I112" s="573">
        <f t="shared" si="20"/>
        <v>0</v>
      </c>
      <c r="J112" s="505">
        <f t="shared" si="21"/>
        <v>0</v>
      </c>
      <c r="K112" s="505"/>
      <c r="L112" s="513"/>
      <c r="M112" s="505">
        <f t="shared" si="22"/>
        <v>0</v>
      </c>
      <c r="N112" s="513"/>
      <c r="O112" s="505">
        <f t="shared" si="23"/>
        <v>0</v>
      </c>
      <c r="P112" s="505">
        <f t="shared" si="24"/>
        <v>0</v>
      </c>
      <c r="Q112" s="244"/>
      <c r="R112" s="244"/>
      <c r="S112" s="244"/>
      <c r="T112" s="244"/>
      <c r="U112" s="244"/>
    </row>
    <row r="113" spans="2:21" ht="12.5">
      <c r="B113" s="145" t="str">
        <f t="shared" si="17"/>
        <v/>
      </c>
      <c r="C113" s="496">
        <f>IF(D94="","-",+C112+1)</f>
        <v>2025</v>
      </c>
      <c r="D113" s="350">
        <f>IF(F112+SUM(E$100:E112)=D$93,F112,D$93-SUM(E$100:E112))</f>
        <v>0</v>
      </c>
      <c r="E113" s="510">
        <f>IF(+J97&lt;F112,J97,D113)</f>
        <v>0</v>
      </c>
      <c r="F113" s="511">
        <f t="shared" si="25"/>
        <v>0</v>
      </c>
      <c r="G113" s="511">
        <f t="shared" si="18"/>
        <v>0</v>
      </c>
      <c r="H113" s="524">
        <f t="shared" si="19"/>
        <v>0</v>
      </c>
      <c r="I113" s="573">
        <f t="shared" si="20"/>
        <v>0</v>
      </c>
      <c r="J113" s="505">
        <f t="shared" si="21"/>
        <v>0</v>
      </c>
      <c r="K113" s="505"/>
      <c r="L113" s="513"/>
      <c r="M113" s="505">
        <f t="shared" si="22"/>
        <v>0</v>
      </c>
      <c r="N113" s="513"/>
      <c r="O113" s="505">
        <f t="shared" si="23"/>
        <v>0</v>
      </c>
      <c r="P113" s="505">
        <f t="shared" si="24"/>
        <v>0</v>
      </c>
      <c r="Q113" s="244"/>
      <c r="R113" s="244"/>
      <c r="S113" s="244"/>
      <c r="T113" s="244"/>
      <c r="U113" s="244"/>
    </row>
    <row r="114" spans="2:21" ht="12.5">
      <c r="B114" s="145" t="str">
        <f t="shared" si="17"/>
        <v/>
      </c>
      <c r="C114" s="496">
        <f>IF(D94="","-",+C113+1)</f>
        <v>2026</v>
      </c>
      <c r="D114" s="350">
        <f>IF(F113+SUM(E$100:E113)=D$93,F113,D$93-SUM(E$100:E113))</f>
        <v>0</v>
      </c>
      <c r="E114" s="510">
        <f>IF(+J97&lt;F113,J97,D114)</f>
        <v>0</v>
      </c>
      <c r="F114" s="511">
        <f t="shared" si="25"/>
        <v>0</v>
      </c>
      <c r="G114" s="511">
        <f t="shared" si="18"/>
        <v>0</v>
      </c>
      <c r="H114" s="524">
        <f t="shared" si="19"/>
        <v>0</v>
      </c>
      <c r="I114" s="573">
        <f t="shared" si="20"/>
        <v>0</v>
      </c>
      <c r="J114" s="505">
        <f t="shared" si="21"/>
        <v>0</v>
      </c>
      <c r="K114" s="505"/>
      <c r="L114" s="513"/>
      <c r="M114" s="505">
        <f t="shared" si="22"/>
        <v>0</v>
      </c>
      <c r="N114" s="513"/>
      <c r="O114" s="505">
        <f t="shared" si="23"/>
        <v>0</v>
      </c>
      <c r="P114" s="505">
        <f t="shared" si="24"/>
        <v>0</v>
      </c>
      <c r="Q114" s="244"/>
      <c r="R114" s="244"/>
      <c r="S114" s="244"/>
      <c r="T114" s="244"/>
      <c r="U114" s="244"/>
    </row>
    <row r="115" spans="2:21" ht="12.5">
      <c r="B115" s="145" t="str">
        <f t="shared" si="17"/>
        <v/>
      </c>
      <c r="C115" s="496">
        <f>IF(D94="","-",+C114+1)</f>
        <v>2027</v>
      </c>
      <c r="D115" s="350">
        <f>IF(F114+SUM(E$100:E114)=D$93,F114,D$93-SUM(E$100:E114))</f>
        <v>0</v>
      </c>
      <c r="E115" s="510">
        <f>IF(+J97&lt;F114,J97,D115)</f>
        <v>0</v>
      </c>
      <c r="F115" s="511">
        <f t="shared" si="25"/>
        <v>0</v>
      </c>
      <c r="G115" s="511">
        <f t="shared" si="18"/>
        <v>0</v>
      </c>
      <c r="H115" s="524">
        <f t="shared" si="19"/>
        <v>0</v>
      </c>
      <c r="I115" s="573">
        <f t="shared" si="20"/>
        <v>0</v>
      </c>
      <c r="J115" s="505">
        <f t="shared" si="21"/>
        <v>0</v>
      </c>
      <c r="K115" s="505"/>
      <c r="L115" s="513"/>
      <c r="M115" s="505">
        <f t="shared" si="22"/>
        <v>0</v>
      </c>
      <c r="N115" s="513"/>
      <c r="O115" s="505">
        <f t="shared" si="23"/>
        <v>0</v>
      </c>
      <c r="P115" s="505">
        <f t="shared" si="24"/>
        <v>0</v>
      </c>
      <c r="Q115" s="244"/>
      <c r="R115" s="244"/>
      <c r="S115" s="244"/>
      <c r="T115" s="244"/>
      <c r="U115" s="244"/>
    </row>
    <row r="116" spans="2:21" ht="12.5">
      <c r="B116" s="145" t="str">
        <f t="shared" si="17"/>
        <v/>
      </c>
      <c r="C116" s="496">
        <f>IF(D94="","-",+C115+1)</f>
        <v>2028</v>
      </c>
      <c r="D116" s="350">
        <f>IF(F115+SUM(E$100:E115)=D$93,F115,D$93-SUM(E$100:E115))</f>
        <v>0</v>
      </c>
      <c r="E116" s="510">
        <f>IF(+J97&lt;F115,J97,D116)</f>
        <v>0</v>
      </c>
      <c r="F116" s="511">
        <f t="shared" si="25"/>
        <v>0</v>
      </c>
      <c r="G116" s="511">
        <f t="shared" si="18"/>
        <v>0</v>
      </c>
      <c r="H116" s="524">
        <f t="shared" si="19"/>
        <v>0</v>
      </c>
      <c r="I116" s="573">
        <f t="shared" si="20"/>
        <v>0</v>
      </c>
      <c r="J116" s="505">
        <f t="shared" si="21"/>
        <v>0</v>
      </c>
      <c r="K116" s="505"/>
      <c r="L116" s="513"/>
      <c r="M116" s="505">
        <f t="shared" si="22"/>
        <v>0</v>
      </c>
      <c r="N116" s="513"/>
      <c r="O116" s="505">
        <f t="shared" si="23"/>
        <v>0</v>
      </c>
      <c r="P116" s="505">
        <f t="shared" si="24"/>
        <v>0</v>
      </c>
      <c r="Q116" s="244"/>
      <c r="R116" s="244"/>
      <c r="S116" s="244"/>
      <c r="T116" s="244"/>
      <c r="U116" s="244"/>
    </row>
    <row r="117" spans="2:21" ht="12.5">
      <c r="B117" s="145" t="str">
        <f t="shared" si="17"/>
        <v/>
      </c>
      <c r="C117" s="496">
        <f>IF(D94="","-",+C116+1)</f>
        <v>2029</v>
      </c>
      <c r="D117" s="350">
        <f>IF(F116+SUM(E$100:E116)=D$93,F116,D$93-SUM(E$100:E116))</f>
        <v>0</v>
      </c>
      <c r="E117" s="510">
        <f>IF(+J97&lt;F116,J97,D117)</f>
        <v>0</v>
      </c>
      <c r="F117" s="511">
        <f t="shared" si="25"/>
        <v>0</v>
      </c>
      <c r="G117" s="511">
        <f t="shared" si="18"/>
        <v>0</v>
      </c>
      <c r="H117" s="524">
        <f t="shared" si="19"/>
        <v>0</v>
      </c>
      <c r="I117" s="573">
        <f t="shared" si="20"/>
        <v>0</v>
      </c>
      <c r="J117" s="505">
        <f t="shared" si="21"/>
        <v>0</v>
      </c>
      <c r="K117" s="505"/>
      <c r="L117" s="513"/>
      <c r="M117" s="505">
        <f t="shared" si="22"/>
        <v>0</v>
      </c>
      <c r="N117" s="513"/>
      <c r="O117" s="505">
        <f t="shared" si="23"/>
        <v>0</v>
      </c>
      <c r="P117" s="505">
        <f t="shared" si="24"/>
        <v>0</v>
      </c>
      <c r="Q117" s="244"/>
      <c r="R117" s="244"/>
      <c r="S117" s="244"/>
      <c r="T117" s="244"/>
      <c r="U117" s="244"/>
    </row>
    <row r="118" spans="2:21" ht="12.5">
      <c r="B118" s="145" t="str">
        <f t="shared" si="17"/>
        <v/>
      </c>
      <c r="C118" s="496">
        <f>IF(D94="","-",+C117+1)</f>
        <v>2030</v>
      </c>
      <c r="D118" s="350">
        <f>IF(F117+SUM(E$100:E117)=D$93,F117,D$93-SUM(E$100:E117))</f>
        <v>0</v>
      </c>
      <c r="E118" s="510">
        <f>IF(+J97&lt;F117,J97,D118)</f>
        <v>0</v>
      </c>
      <c r="F118" s="511">
        <f t="shared" si="25"/>
        <v>0</v>
      </c>
      <c r="G118" s="511">
        <f t="shared" si="18"/>
        <v>0</v>
      </c>
      <c r="H118" s="524">
        <f t="shared" si="19"/>
        <v>0</v>
      </c>
      <c r="I118" s="573">
        <f t="shared" si="20"/>
        <v>0</v>
      </c>
      <c r="J118" s="505">
        <f t="shared" si="21"/>
        <v>0</v>
      </c>
      <c r="K118" s="505"/>
      <c r="L118" s="513"/>
      <c r="M118" s="505">
        <f t="shared" si="22"/>
        <v>0</v>
      </c>
      <c r="N118" s="513"/>
      <c r="O118" s="505">
        <f t="shared" si="23"/>
        <v>0</v>
      </c>
      <c r="P118" s="505">
        <f t="shared" si="24"/>
        <v>0</v>
      </c>
      <c r="Q118" s="244"/>
      <c r="R118" s="244"/>
      <c r="S118" s="244"/>
      <c r="T118" s="244"/>
      <c r="U118" s="244"/>
    </row>
    <row r="119" spans="2:21" ht="12.5">
      <c r="B119" s="145" t="str">
        <f t="shared" si="17"/>
        <v/>
      </c>
      <c r="C119" s="496">
        <f>IF(D94="","-",+C118+1)</f>
        <v>2031</v>
      </c>
      <c r="D119" s="350">
        <f>IF(F118+SUM(E$100:E118)=D$93,F118,D$93-SUM(E$100:E118))</f>
        <v>0</v>
      </c>
      <c r="E119" s="510">
        <f>IF(+J97&lt;F118,J97,D119)</f>
        <v>0</v>
      </c>
      <c r="F119" s="511">
        <f t="shared" si="25"/>
        <v>0</v>
      </c>
      <c r="G119" s="511">
        <f t="shared" si="18"/>
        <v>0</v>
      </c>
      <c r="H119" s="524">
        <f t="shared" si="19"/>
        <v>0</v>
      </c>
      <c r="I119" s="573">
        <f t="shared" si="20"/>
        <v>0</v>
      </c>
      <c r="J119" s="505">
        <f t="shared" si="21"/>
        <v>0</v>
      </c>
      <c r="K119" s="505"/>
      <c r="L119" s="513"/>
      <c r="M119" s="505">
        <f t="shared" si="22"/>
        <v>0</v>
      </c>
      <c r="N119" s="513"/>
      <c r="O119" s="505">
        <f t="shared" si="23"/>
        <v>0</v>
      </c>
      <c r="P119" s="505">
        <f t="shared" si="24"/>
        <v>0</v>
      </c>
      <c r="Q119" s="244"/>
      <c r="R119" s="244"/>
      <c r="S119" s="244"/>
      <c r="T119" s="244"/>
      <c r="U119" s="244"/>
    </row>
    <row r="120" spans="2:21" ht="12.5">
      <c r="B120" s="145" t="str">
        <f t="shared" si="17"/>
        <v/>
      </c>
      <c r="C120" s="496">
        <f>IF(D94="","-",+C119+1)</f>
        <v>2032</v>
      </c>
      <c r="D120" s="350">
        <f>IF(F119+SUM(E$100:E119)=D$93,F119,D$93-SUM(E$100:E119))</f>
        <v>0</v>
      </c>
      <c r="E120" s="510">
        <f>IF(+J97&lt;F119,J97,D120)</f>
        <v>0</v>
      </c>
      <c r="F120" s="511">
        <f t="shared" si="25"/>
        <v>0</v>
      </c>
      <c r="G120" s="511">
        <f t="shared" si="18"/>
        <v>0</v>
      </c>
      <c r="H120" s="524">
        <f t="shared" si="19"/>
        <v>0</v>
      </c>
      <c r="I120" s="573">
        <f t="shared" si="20"/>
        <v>0</v>
      </c>
      <c r="J120" s="505">
        <f t="shared" si="21"/>
        <v>0</v>
      </c>
      <c r="K120" s="505"/>
      <c r="L120" s="513"/>
      <c r="M120" s="505">
        <f t="shared" si="22"/>
        <v>0</v>
      </c>
      <c r="N120" s="513"/>
      <c r="O120" s="505">
        <f t="shared" si="23"/>
        <v>0</v>
      </c>
      <c r="P120" s="505">
        <f t="shared" si="24"/>
        <v>0</v>
      </c>
      <c r="Q120" s="244"/>
      <c r="R120" s="244"/>
      <c r="S120" s="244"/>
      <c r="T120" s="244"/>
      <c r="U120" s="244"/>
    </row>
    <row r="121" spans="2:21" ht="12.5">
      <c r="B121" s="145" t="str">
        <f t="shared" si="17"/>
        <v/>
      </c>
      <c r="C121" s="496">
        <f>IF(D94="","-",+C120+1)</f>
        <v>2033</v>
      </c>
      <c r="D121" s="350">
        <f>IF(F120+SUM(E$100:E120)=D$93,F120,D$93-SUM(E$100:E120))</f>
        <v>0</v>
      </c>
      <c r="E121" s="510">
        <f>IF(+J97&lt;F120,J97,D121)</f>
        <v>0</v>
      </c>
      <c r="F121" s="511">
        <f t="shared" si="25"/>
        <v>0</v>
      </c>
      <c r="G121" s="511">
        <f t="shared" si="18"/>
        <v>0</v>
      </c>
      <c r="H121" s="524">
        <f t="shared" si="19"/>
        <v>0</v>
      </c>
      <c r="I121" s="573">
        <f t="shared" si="20"/>
        <v>0</v>
      </c>
      <c r="J121" s="505">
        <f t="shared" si="21"/>
        <v>0</v>
      </c>
      <c r="K121" s="505"/>
      <c r="L121" s="513"/>
      <c r="M121" s="505">
        <f t="shared" si="22"/>
        <v>0</v>
      </c>
      <c r="N121" s="513"/>
      <c r="O121" s="505">
        <f t="shared" si="23"/>
        <v>0</v>
      </c>
      <c r="P121" s="505">
        <f t="shared" si="24"/>
        <v>0</v>
      </c>
      <c r="Q121" s="244"/>
      <c r="R121" s="244"/>
      <c r="S121" s="244"/>
      <c r="T121" s="244"/>
      <c r="U121" s="244"/>
    </row>
    <row r="122" spans="2:21" ht="12.5">
      <c r="B122" s="145" t="str">
        <f t="shared" si="17"/>
        <v/>
      </c>
      <c r="C122" s="496">
        <f>IF(D94="","-",+C121+1)</f>
        <v>2034</v>
      </c>
      <c r="D122" s="350">
        <f>IF(F121+SUM(E$100:E121)=D$93,F121,D$93-SUM(E$100:E121))</f>
        <v>0</v>
      </c>
      <c r="E122" s="510">
        <f>IF(+J97&lt;F121,J97,D122)</f>
        <v>0</v>
      </c>
      <c r="F122" s="511">
        <f t="shared" si="25"/>
        <v>0</v>
      </c>
      <c r="G122" s="511">
        <f t="shared" si="18"/>
        <v>0</v>
      </c>
      <c r="H122" s="524">
        <f t="shared" si="19"/>
        <v>0</v>
      </c>
      <c r="I122" s="573">
        <f t="shared" si="20"/>
        <v>0</v>
      </c>
      <c r="J122" s="505">
        <f t="shared" si="21"/>
        <v>0</v>
      </c>
      <c r="K122" s="505"/>
      <c r="L122" s="513"/>
      <c r="M122" s="505">
        <f t="shared" si="22"/>
        <v>0</v>
      </c>
      <c r="N122" s="513"/>
      <c r="O122" s="505">
        <f t="shared" si="23"/>
        <v>0</v>
      </c>
      <c r="P122" s="505">
        <f t="shared" si="24"/>
        <v>0</v>
      </c>
      <c r="Q122" s="244"/>
      <c r="R122" s="244"/>
      <c r="S122" s="244"/>
      <c r="T122" s="244"/>
      <c r="U122" s="244"/>
    </row>
    <row r="123" spans="2:21" ht="12.5">
      <c r="B123" s="145" t="str">
        <f t="shared" si="17"/>
        <v/>
      </c>
      <c r="C123" s="496">
        <f>IF(D94="","-",+C122+1)</f>
        <v>2035</v>
      </c>
      <c r="D123" s="350">
        <f>IF(F122+SUM(E$100:E122)=D$93,F122,D$93-SUM(E$100:E122))</f>
        <v>0</v>
      </c>
      <c r="E123" s="510">
        <f>IF(+J97&lt;F122,J97,D123)</f>
        <v>0</v>
      </c>
      <c r="F123" s="511">
        <f t="shared" si="25"/>
        <v>0</v>
      </c>
      <c r="G123" s="511">
        <f t="shared" si="18"/>
        <v>0</v>
      </c>
      <c r="H123" s="524">
        <f t="shared" si="19"/>
        <v>0</v>
      </c>
      <c r="I123" s="573">
        <f t="shared" si="20"/>
        <v>0</v>
      </c>
      <c r="J123" s="505">
        <f t="shared" si="21"/>
        <v>0</v>
      </c>
      <c r="K123" s="505"/>
      <c r="L123" s="513"/>
      <c r="M123" s="505">
        <f t="shared" si="22"/>
        <v>0</v>
      </c>
      <c r="N123" s="513"/>
      <c r="O123" s="505">
        <f t="shared" si="23"/>
        <v>0</v>
      </c>
      <c r="P123" s="505">
        <f t="shared" si="24"/>
        <v>0</v>
      </c>
      <c r="Q123" s="244"/>
      <c r="R123" s="244"/>
      <c r="S123" s="244"/>
      <c r="T123" s="244"/>
      <c r="U123" s="244"/>
    </row>
    <row r="124" spans="2:21" ht="12.5">
      <c r="B124" s="145" t="str">
        <f t="shared" si="17"/>
        <v/>
      </c>
      <c r="C124" s="496">
        <f>IF(D94="","-",+C123+1)</f>
        <v>2036</v>
      </c>
      <c r="D124" s="350">
        <f>IF(F123+SUM(E$100:E123)=D$93,F123,D$93-SUM(E$100:E123))</f>
        <v>0</v>
      </c>
      <c r="E124" s="510">
        <f>IF(+J97&lt;F123,J97,D124)</f>
        <v>0</v>
      </c>
      <c r="F124" s="511">
        <f t="shared" si="25"/>
        <v>0</v>
      </c>
      <c r="G124" s="511">
        <f t="shared" si="18"/>
        <v>0</v>
      </c>
      <c r="H124" s="524">
        <f t="shared" si="19"/>
        <v>0</v>
      </c>
      <c r="I124" s="573">
        <f t="shared" si="20"/>
        <v>0</v>
      </c>
      <c r="J124" s="505">
        <f t="shared" si="21"/>
        <v>0</v>
      </c>
      <c r="K124" s="505"/>
      <c r="L124" s="513"/>
      <c r="M124" s="505">
        <f t="shared" si="22"/>
        <v>0</v>
      </c>
      <c r="N124" s="513"/>
      <c r="O124" s="505">
        <f t="shared" si="23"/>
        <v>0</v>
      </c>
      <c r="P124" s="505">
        <f t="shared" si="24"/>
        <v>0</v>
      </c>
      <c r="Q124" s="244"/>
      <c r="R124" s="244"/>
      <c r="S124" s="244"/>
      <c r="T124" s="244"/>
      <c r="U124" s="244"/>
    </row>
    <row r="125" spans="2:21" ht="12.5">
      <c r="B125" s="145" t="str">
        <f t="shared" si="17"/>
        <v/>
      </c>
      <c r="C125" s="496">
        <f>IF(D94="","-",+C124+1)</f>
        <v>2037</v>
      </c>
      <c r="D125" s="350">
        <f>IF(F124+SUM(E$100:E124)=D$93,F124,D$93-SUM(E$100:E124))</f>
        <v>0</v>
      </c>
      <c r="E125" s="510">
        <f>IF(+J97&lt;F124,J97,D125)</f>
        <v>0</v>
      </c>
      <c r="F125" s="511">
        <f t="shared" si="25"/>
        <v>0</v>
      </c>
      <c r="G125" s="511">
        <f t="shared" si="18"/>
        <v>0</v>
      </c>
      <c r="H125" s="524">
        <f t="shared" si="19"/>
        <v>0</v>
      </c>
      <c r="I125" s="573">
        <f t="shared" si="20"/>
        <v>0</v>
      </c>
      <c r="J125" s="505">
        <f t="shared" si="21"/>
        <v>0</v>
      </c>
      <c r="K125" s="505"/>
      <c r="L125" s="513"/>
      <c r="M125" s="505">
        <f t="shared" si="22"/>
        <v>0</v>
      </c>
      <c r="N125" s="513"/>
      <c r="O125" s="505">
        <f t="shared" si="23"/>
        <v>0</v>
      </c>
      <c r="P125" s="505">
        <f t="shared" si="24"/>
        <v>0</v>
      </c>
      <c r="Q125" s="244"/>
      <c r="R125" s="244"/>
      <c r="S125" s="244"/>
      <c r="T125" s="244"/>
      <c r="U125" s="244"/>
    </row>
    <row r="126" spans="2:21" ht="12.5">
      <c r="B126" s="145" t="str">
        <f t="shared" si="17"/>
        <v/>
      </c>
      <c r="C126" s="496">
        <f>IF(D94="","-",+C125+1)</f>
        <v>2038</v>
      </c>
      <c r="D126" s="350">
        <f>IF(F125+SUM(E$100:E125)=D$93,F125,D$93-SUM(E$100:E125))</f>
        <v>0</v>
      </c>
      <c r="E126" s="510">
        <f>IF(+J97&lt;F125,J97,D126)</f>
        <v>0</v>
      </c>
      <c r="F126" s="511">
        <f t="shared" si="25"/>
        <v>0</v>
      </c>
      <c r="G126" s="511">
        <f t="shared" si="18"/>
        <v>0</v>
      </c>
      <c r="H126" s="524">
        <f t="shared" si="19"/>
        <v>0</v>
      </c>
      <c r="I126" s="573">
        <f t="shared" si="20"/>
        <v>0</v>
      </c>
      <c r="J126" s="505">
        <f t="shared" si="21"/>
        <v>0</v>
      </c>
      <c r="K126" s="505"/>
      <c r="L126" s="513"/>
      <c r="M126" s="505">
        <f t="shared" si="22"/>
        <v>0</v>
      </c>
      <c r="N126" s="513"/>
      <c r="O126" s="505">
        <f t="shared" si="23"/>
        <v>0</v>
      </c>
      <c r="P126" s="505">
        <f t="shared" si="24"/>
        <v>0</v>
      </c>
      <c r="Q126" s="244"/>
      <c r="R126" s="244"/>
      <c r="S126" s="244"/>
      <c r="T126" s="244"/>
      <c r="U126" s="244"/>
    </row>
    <row r="127" spans="2:21" ht="12.5">
      <c r="B127" s="145" t="str">
        <f t="shared" si="17"/>
        <v/>
      </c>
      <c r="C127" s="496">
        <f>IF(D94="","-",+C126+1)</f>
        <v>2039</v>
      </c>
      <c r="D127" s="350">
        <f>IF(F126+SUM(E$100:E126)=D$93,F126,D$93-SUM(E$100:E126))</f>
        <v>0</v>
      </c>
      <c r="E127" s="510">
        <f>IF(+J97&lt;F126,J97,D127)</f>
        <v>0</v>
      </c>
      <c r="F127" s="511">
        <f t="shared" si="25"/>
        <v>0</v>
      </c>
      <c r="G127" s="511">
        <f t="shared" si="18"/>
        <v>0</v>
      </c>
      <c r="H127" s="524">
        <f t="shared" si="19"/>
        <v>0</v>
      </c>
      <c r="I127" s="573">
        <f t="shared" si="20"/>
        <v>0</v>
      </c>
      <c r="J127" s="505">
        <f t="shared" si="21"/>
        <v>0</v>
      </c>
      <c r="K127" s="505"/>
      <c r="L127" s="513"/>
      <c r="M127" s="505">
        <f t="shared" si="22"/>
        <v>0</v>
      </c>
      <c r="N127" s="513"/>
      <c r="O127" s="505">
        <f t="shared" si="23"/>
        <v>0</v>
      </c>
      <c r="P127" s="505">
        <f t="shared" si="24"/>
        <v>0</v>
      </c>
      <c r="Q127" s="244"/>
      <c r="R127" s="244"/>
      <c r="S127" s="244"/>
      <c r="T127" s="244"/>
      <c r="U127" s="244"/>
    </row>
    <row r="128" spans="2:21" ht="12.5">
      <c r="B128" s="145" t="str">
        <f t="shared" si="17"/>
        <v/>
      </c>
      <c r="C128" s="496">
        <f>IF(D94="","-",+C127+1)</f>
        <v>2040</v>
      </c>
      <c r="D128" s="350">
        <f>IF(F127+SUM(E$100:E127)=D$93,F127,D$93-SUM(E$100:E127))</f>
        <v>0</v>
      </c>
      <c r="E128" s="510">
        <f>IF(+J97&lt;F127,J97,D128)</f>
        <v>0</v>
      </c>
      <c r="F128" s="511">
        <f t="shared" si="25"/>
        <v>0</v>
      </c>
      <c r="G128" s="511">
        <f t="shared" si="18"/>
        <v>0</v>
      </c>
      <c r="H128" s="524">
        <f t="shared" si="19"/>
        <v>0</v>
      </c>
      <c r="I128" s="573">
        <f t="shared" si="20"/>
        <v>0</v>
      </c>
      <c r="J128" s="505">
        <f t="shared" si="21"/>
        <v>0</v>
      </c>
      <c r="K128" s="505"/>
      <c r="L128" s="513"/>
      <c r="M128" s="505">
        <f t="shared" si="22"/>
        <v>0</v>
      </c>
      <c r="N128" s="513"/>
      <c r="O128" s="505">
        <f t="shared" si="23"/>
        <v>0</v>
      </c>
      <c r="P128" s="505">
        <f t="shared" si="24"/>
        <v>0</v>
      </c>
      <c r="Q128" s="244"/>
      <c r="R128" s="244"/>
      <c r="S128" s="244"/>
      <c r="T128" s="244"/>
      <c r="U128" s="244"/>
    </row>
    <row r="129" spans="2:21" ht="12.5">
      <c r="B129" s="145" t="str">
        <f t="shared" si="17"/>
        <v/>
      </c>
      <c r="C129" s="496">
        <f>IF(D94="","-",+C128+1)</f>
        <v>2041</v>
      </c>
      <c r="D129" s="350">
        <f>IF(F128+SUM(E$100:E128)=D$93,F128,D$93-SUM(E$100:E128))</f>
        <v>0</v>
      </c>
      <c r="E129" s="510">
        <f>IF(+J97&lt;F128,J97,D129)</f>
        <v>0</v>
      </c>
      <c r="F129" s="511">
        <f t="shared" si="25"/>
        <v>0</v>
      </c>
      <c r="G129" s="511">
        <f t="shared" si="18"/>
        <v>0</v>
      </c>
      <c r="H129" s="524">
        <f t="shared" si="19"/>
        <v>0</v>
      </c>
      <c r="I129" s="573">
        <f t="shared" si="20"/>
        <v>0</v>
      </c>
      <c r="J129" s="505">
        <f t="shared" si="21"/>
        <v>0</v>
      </c>
      <c r="K129" s="505"/>
      <c r="L129" s="513"/>
      <c r="M129" s="505">
        <f t="shared" si="22"/>
        <v>0</v>
      </c>
      <c r="N129" s="513"/>
      <c r="O129" s="505">
        <f t="shared" si="23"/>
        <v>0</v>
      </c>
      <c r="P129" s="505">
        <f t="shared" si="24"/>
        <v>0</v>
      </c>
      <c r="Q129" s="244"/>
      <c r="R129" s="244"/>
      <c r="S129" s="244"/>
      <c r="T129" s="244"/>
      <c r="U129" s="244"/>
    </row>
    <row r="130" spans="2:21" ht="12.5">
      <c r="B130" s="145" t="str">
        <f t="shared" si="17"/>
        <v/>
      </c>
      <c r="C130" s="496">
        <f>IF(D94="","-",+C129+1)</f>
        <v>2042</v>
      </c>
      <c r="D130" s="350">
        <f>IF(F129+SUM(E$100:E129)=D$93,F129,D$93-SUM(E$100:E129))</f>
        <v>0</v>
      </c>
      <c r="E130" s="510">
        <f>IF(+J97&lt;F129,J97,D130)</f>
        <v>0</v>
      </c>
      <c r="F130" s="511">
        <f t="shared" si="25"/>
        <v>0</v>
      </c>
      <c r="G130" s="511">
        <f t="shared" si="18"/>
        <v>0</v>
      </c>
      <c r="H130" s="524">
        <f t="shared" si="19"/>
        <v>0</v>
      </c>
      <c r="I130" s="573">
        <f t="shared" si="20"/>
        <v>0</v>
      </c>
      <c r="J130" s="505">
        <f t="shared" si="21"/>
        <v>0</v>
      </c>
      <c r="K130" s="505"/>
      <c r="L130" s="513"/>
      <c r="M130" s="505">
        <f t="shared" si="22"/>
        <v>0</v>
      </c>
      <c r="N130" s="513"/>
      <c r="O130" s="505">
        <f t="shared" si="23"/>
        <v>0</v>
      </c>
      <c r="P130" s="505">
        <f t="shared" si="24"/>
        <v>0</v>
      </c>
      <c r="Q130" s="244"/>
      <c r="R130" s="244"/>
      <c r="S130" s="244"/>
      <c r="T130" s="244"/>
      <c r="U130" s="244"/>
    </row>
    <row r="131" spans="2:21" ht="12.5">
      <c r="B131" s="145" t="str">
        <f t="shared" si="17"/>
        <v/>
      </c>
      <c r="C131" s="496">
        <f>IF(D94="","-",+C130+1)</f>
        <v>2043</v>
      </c>
      <c r="D131" s="350">
        <f>IF(F130+SUM(E$100:E130)=D$93,F130,D$93-SUM(E$100:E130))</f>
        <v>0</v>
      </c>
      <c r="E131" s="510">
        <f>IF(+J97&lt;F130,J97,D131)</f>
        <v>0</v>
      </c>
      <c r="F131" s="511">
        <f t="shared" si="25"/>
        <v>0</v>
      </c>
      <c r="G131" s="511">
        <f t="shared" si="18"/>
        <v>0</v>
      </c>
      <c r="H131" s="524">
        <f t="shared" si="19"/>
        <v>0</v>
      </c>
      <c r="I131" s="573">
        <f t="shared" si="20"/>
        <v>0</v>
      </c>
      <c r="J131" s="505">
        <f t="shared" si="21"/>
        <v>0</v>
      </c>
      <c r="K131" s="505"/>
      <c r="L131" s="513"/>
      <c r="M131" s="505">
        <f t="shared" si="22"/>
        <v>0</v>
      </c>
      <c r="N131" s="513"/>
      <c r="O131" s="505">
        <f t="shared" si="23"/>
        <v>0</v>
      </c>
      <c r="P131" s="505">
        <f t="shared" si="24"/>
        <v>0</v>
      </c>
      <c r="Q131" s="244"/>
      <c r="R131" s="244"/>
      <c r="S131" s="244"/>
      <c r="T131" s="244"/>
      <c r="U131" s="244"/>
    </row>
    <row r="132" spans="2:21" ht="12.5">
      <c r="B132" s="145" t="str">
        <f t="shared" ref="B132:B155" si="26">IF(D132=F131,"","IU")</f>
        <v/>
      </c>
      <c r="C132" s="496">
        <f>IF(D94="","-",+C131+1)</f>
        <v>2044</v>
      </c>
      <c r="D132" s="350">
        <f>IF(F131+SUM(E$100:E131)=D$93,F131,D$93-SUM(E$100:E131))</f>
        <v>0</v>
      </c>
      <c r="E132" s="510">
        <f>IF(+J97&lt;F131,J97,D132)</f>
        <v>0</v>
      </c>
      <c r="F132" s="511">
        <f t="shared" si="25"/>
        <v>0</v>
      </c>
      <c r="G132" s="511">
        <f t="shared" ref="G132:G155" si="27">+(F132+D132)/2</f>
        <v>0</v>
      </c>
      <c r="H132" s="524">
        <f t="shared" ref="H132:H155" si="28">+J$95*G132+E132</f>
        <v>0</v>
      </c>
      <c r="I132" s="573">
        <f t="shared" ref="I132:I155" si="29">+J$96*G132+E132</f>
        <v>0</v>
      </c>
      <c r="J132" s="505">
        <f t="shared" ref="J132:J155" si="30">+I132-H132</f>
        <v>0</v>
      </c>
      <c r="K132" s="505"/>
      <c r="L132" s="513"/>
      <c r="M132" s="505">
        <f t="shared" ref="M132:M155" si="31">IF(L132&lt;&gt;0,+H132-L132,0)</f>
        <v>0</v>
      </c>
      <c r="N132" s="513"/>
      <c r="O132" s="505">
        <f t="shared" ref="O132:O155" si="32">IF(N132&lt;&gt;0,+I132-N132,0)</f>
        <v>0</v>
      </c>
      <c r="P132" s="505">
        <f t="shared" ref="P132:P155" si="33">+O132-M132</f>
        <v>0</v>
      </c>
      <c r="Q132" s="244"/>
      <c r="R132" s="244"/>
      <c r="S132" s="244"/>
      <c r="T132" s="244"/>
      <c r="U132" s="244"/>
    </row>
    <row r="133" spans="2:21" ht="12.5">
      <c r="B133" s="145" t="str">
        <f t="shared" si="26"/>
        <v/>
      </c>
      <c r="C133" s="496">
        <f>IF(D94="","-",+C132+1)</f>
        <v>2045</v>
      </c>
      <c r="D133" s="350">
        <f>IF(F132+SUM(E$100:E132)=D$93,F132,D$93-SUM(E$100:E132))</f>
        <v>0</v>
      </c>
      <c r="E133" s="510">
        <f>IF(+J97&lt;F132,J97,D133)</f>
        <v>0</v>
      </c>
      <c r="F133" s="511">
        <f t="shared" ref="F133:F155" si="34">+D133-E133</f>
        <v>0</v>
      </c>
      <c r="G133" s="511">
        <f t="shared" si="27"/>
        <v>0</v>
      </c>
      <c r="H133" s="524">
        <f t="shared" si="28"/>
        <v>0</v>
      </c>
      <c r="I133" s="573">
        <f t="shared" si="29"/>
        <v>0</v>
      </c>
      <c r="J133" s="505">
        <f t="shared" si="30"/>
        <v>0</v>
      </c>
      <c r="K133" s="505"/>
      <c r="L133" s="513"/>
      <c r="M133" s="505">
        <f t="shared" si="31"/>
        <v>0</v>
      </c>
      <c r="N133" s="513"/>
      <c r="O133" s="505">
        <f t="shared" si="32"/>
        <v>0</v>
      </c>
      <c r="P133" s="505">
        <f t="shared" si="33"/>
        <v>0</v>
      </c>
      <c r="Q133" s="244"/>
      <c r="R133" s="244"/>
      <c r="S133" s="244"/>
      <c r="T133" s="244"/>
      <c r="U133" s="244"/>
    </row>
    <row r="134" spans="2:21" ht="12.5">
      <c r="B134" s="145" t="str">
        <f t="shared" si="26"/>
        <v/>
      </c>
      <c r="C134" s="496">
        <f>IF(D94="","-",+C133+1)</f>
        <v>2046</v>
      </c>
      <c r="D134" s="350">
        <f>IF(F133+SUM(E$100:E133)=D$93,F133,D$93-SUM(E$100:E133))</f>
        <v>0</v>
      </c>
      <c r="E134" s="510">
        <f>IF(+J97&lt;F133,J97,D134)</f>
        <v>0</v>
      </c>
      <c r="F134" s="511">
        <f t="shared" si="34"/>
        <v>0</v>
      </c>
      <c r="G134" s="511">
        <f t="shared" si="27"/>
        <v>0</v>
      </c>
      <c r="H134" s="524">
        <f t="shared" si="28"/>
        <v>0</v>
      </c>
      <c r="I134" s="573">
        <f t="shared" si="29"/>
        <v>0</v>
      </c>
      <c r="J134" s="505">
        <f t="shared" si="30"/>
        <v>0</v>
      </c>
      <c r="K134" s="505"/>
      <c r="L134" s="513"/>
      <c r="M134" s="505">
        <f t="shared" si="31"/>
        <v>0</v>
      </c>
      <c r="N134" s="513"/>
      <c r="O134" s="505">
        <f t="shared" si="32"/>
        <v>0</v>
      </c>
      <c r="P134" s="505">
        <f t="shared" si="33"/>
        <v>0</v>
      </c>
      <c r="Q134" s="244"/>
      <c r="R134" s="244"/>
      <c r="S134" s="244"/>
      <c r="T134" s="244"/>
      <c r="U134" s="244"/>
    </row>
    <row r="135" spans="2:21" ht="12.5">
      <c r="B135" s="145" t="str">
        <f t="shared" si="26"/>
        <v/>
      </c>
      <c r="C135" s="496">
        <f>IF(D94="","-",+C134+1)</f>
        <v>2047</v>
      </c>
      <c r="D135" s="350">
        <f>IF(F134+SUM(E$100:E134)=D$93,F134,D$93-SUM(E$100:E134))</f>
        <v>0</v>
      </c>
      <c r="E135" s="510">
        <f>IF(+J97&lt;F134,J97,D135)</f>
        <v>0</v>
      </c>
      <c r="F135" s="511">
        <f t="shared" si="34"/>
        <v>0</v>
      </c>
      <c r="G135" s="511">
        <f t="shared" si="27"/>
        <v>0</v>
      </c>
      <c r="H135" s="524">
        <f t="shared" si="28"/>
        <v>0</v>
      </c>
      <c r="I135" s="573">
        <f t="shared" si="29"/>
        <v>0</v>
      </c>
      <c r="J135" s="505">
        <f t="shared" si="30"/>
        <v>0</v>
      </c>
      <c r="K135" s="505"/>
      <c r="L135" s="513"/>
      <c r="M135" s="505">
        <f t="shared" si="31"/>
        <v>0</v>
      </c>
      <c r="N135" s="513"/>
      <c r="O135" s="505">
        <f t="shared" si="32"/>
        <v>0</v>
      </c>
      <c r="P135" s="505">
        <f t="shared" si="33"/>
        <v>0</v>
      </c>
      <c r="Q135" s="244"/>
      <c r="R135" s="244"/>
      <c r="S135" s="244"/>
      <c r="T135" s="244"/>
      <c r="U135" s="244"/>
    </row>
    <row r="136" spans="2:21" ht="12.5">
      <c r="B136" s="145" t="str">
        <f t="shared" si="26"/>
        <v/>
      </c>
      <c r="C136" s="496">
        <f>IF(D94="","-",+C135+1)</f>
        <v>2048</v>
      </c>
      <c r="D136" s="350">
        <f>IF(F135+SUM(E$100:E135)=D$93,F135,D$93-SUM(E$100:E135))</f>
        <v>0</v>
      </c>
      <c r="E136" s="510">
        <f>IF(+J97&lt;F135,J97,D136)</f>
        <v>0</v>
      </c>
      <c r="F136" s="511">
        <f t="shared" si="34"/>
        <v>0</v>
      </c>
      <c r="G136" s="511">
        <f t="shared" si="27"/>
        <v>0</v>
      </c>
      <c r="H136" s="524">
        <f t="shared" si="28"/>
        <v>0</v>
      </c>
      <c r="I136" s="573">
        <f t="shared" si="29"/>
        <v>0</v>
      </c>
      <c r="J136" s="505">
        <f t="shared" si="30"/>
        <v>0</v>
      </c>
      <c r="K136" s="505"/>
      <c r="L136" s="513"/>
      <c r="M136" s="505">
        <f t="shared" si="31"/>
        <v>0</v>
      </c>
      <c r="N136" s="513"/>
      <c r="O136" s="505">
        <f t="shared" si="32"/>
        <v>0</v>
      </c>
      <c r="P136" s="505">
        <f t="shared" si="33"/>
        <v>0</v>
      </c>
      <c r="Q136" s="244"/>
      <c r="R136" s="244"/>
      <c r="S136" s="244"/>
      <c r="T136" s="244"/>
      <c r="U136" s="244"/>
    </row>
    <row r="137" spans="2:21" ht="12.5">
      <c r="B137" s="145" t="str">
        <f t="shared" si="26"/>
        <v/>
      </c>
      <c r="C137" s="496">
        <f>IF(D94="","-",+C136+1)</f>
        <v>2049</v>
      </c>
      <c r="D137" s="350">
        <f>IF(F136+SUM(E$100:E136)=D$93,F136,D$93-SUM(E$100:E136))</f>
        <v>0</v>
      </c>
      <c r="E137" s="510">
        <f>IF(+J97&lt;F136,J97,D137)</f>
        <v>0</v>
      </c>
      <c r="F137" s="511">
        <f t="shared" si="34"/>
        <v>0</v>
      </c>
      <c r="G137" s="511">
        <f t="shared" si="27"/>
        <v>0</v>
      </c>
      <c r="H137" s="524">
        <f t="shared" si="28"/>
        <v>0</v>
      </c>
      <c r="I137" s="573">
        <f t="shared" si="29"/>
        <v>0</v>
      </c>
      <c r="J137" s="505">
        <f t="shared" si="30"/>
        <v>0</v>
      </c>
      <c r="K137" s="505"/>
      <c r="L137" s="513"/>
      <c r="M137" s="505">
        <f t="shared" si="31"/>
        <v>0</v>
      </c>
      <c r="N137" s="513"/>
      <c r="O137" s="505">
        <f t="shared" si="32"/>
        <v>0</v>
      </c>
      <c r="P137" s="505">
        <f t="shared" si="33"/>
        <v>0</v>
      </c>
      <c r="Q137" s="244"/>
      <c r="R137" s="244"/>
      <c r="S137" s="244"/>
      <c r="T137" s="244"/>
      <c r="U137" s="244"/>
    </row>
    <row r="138" spans="2:21" ht="12.5">
      <c r="B138" s="145" t="str">
        <f t="shared" si="26"/>
        <v/>
      </c>
      <c r="C138" s="496">
        <f>IF(D94="","-",+C137+1)</f>
        <v>2050</v>
      </c>
      <c r="D138" s="350">
        <f>IF(F137+SUM(E$100:E137)=D$93,F137,D$93-SUM(E$100:E137))</f>
        <v>0</v>
      </c>
      <c r="E138" s="510">
        <f>IF(+J97&lt;F137,J97,D138)</f>
        <v>0</v>
      </c>
      <c r="F138" s="511">
        <f t="shared" si="34"/>
        <v>0</v>
      </c>
      <c r="G138" s="511">
        <f t="shared" si="27"/>
        <v>0</v>
      </c>
      <c r="H138" s="524">
        <f t="shared" si="28"/>
        <v>0</v>
      </c>
      <c r="I138" s="573">
        <f t="shared" si="29"/>
        <v>0</v>
      </c>
      <c r="J138" s="505">
        <f t="shared" si="30"/>
        <v>0</v>
      </c>
      <c r="K138" s="505"/>
      <c r="L138" s="513"/>
      <c r="M138" s="505">
        <f t="shared" si="31"/>
        <v>0</v>
      </c>
      <c r="N138" s="513"/>
      <c r="O138" s="505">
        <f t="shared" si="32"/>
        <v>0</v>
      </c>
      <c r="P138" s="505">
        <f t="shared" si="33"/>
        <v>0</v>
      </c>
      <c r="Q138" s="244"/>
      <c r="R138" s="244"/>
      <c r="S138" s="244"/>
      <c r="T138" s="244"/>
      <c r="U138" s="244"/>
    </row>
    <row r="139" spans="2:21" ht="12.5">
      <c r="B139" s="145" t="str">
        <f t="shared" si="26"/>
        <v/>
      </c>
      <c r="C139" s="496">
        <f>IF(D94="","-",+C138+1)</f>
        <v>2051</v>
      </c>
      <c r="D139" s="350">
        <f>IF(F138+SUM(E$100:E138)=D$93,F138,D$93-SUM(E$100:E138))</f>
        <v>0</v>
      </c>
      <c r="E139" s="510">
        <f>IF(+J97&lt;F138,J97,D139)</f>
        <v>0</v>
      </c>
      <c r="F139" s="511">
        <f t="shared" si="34"/>
        <v>0</v>
      </c>
      <c r="G139" s="511">
        <f t="shared" si="27"/>
        <v>0</v>
      </c>
      <c r="H139" s="524">
        <f t="shared" si="28"/>
        <v>0</v>
      </c>
      <c r="I139" s="573">
        <f t="shared" si="29"/>
        <v>0</v>
      </c>
      <c r="J139" s="505">
        <f t="shared" si="30"/>
        <v>0</v>
      </c>
      <c r="K139" s="505"/>
      <c r="L139" s="513"/>
      <c r="M139" s="505">
        <f t="shared" si="31"/>
        <v>0</v>
      </c>
      <c r="N139" s="513"/>
      <c r="O139" s="505">
        <f t="shared" si="32"/>
        <v>0</v>
      </c>
      <c r="P139" s="505">
        <f t="shared" si="33"/>
        <v>0</v>
      </c>
      <c r="Q139" s="244"/>
      <c r="R139" s="244"/>
      <c r="S139" s="244"/>
      <c r="T139" s="244"/>
      <c r="U139" s="244"/>
    </row>
    <row r="140" spans="2:21" ht="12.5">
      <c r="B140" s="145" t="str">
        <f t="shared" si="26"/>
        <v/>
      </c>
      <c r="C140" s="496">
        <f>IF(D94="","-",+C139+1)</f>
        <v>2052</v>
      </c>
      <c r="D140" s="350">
        <f>IF(F139+SUM(E$100:E139)=D$93,F139,D$93-SUM(E$100:E139))</f>
        <v>0</v>
      </c>
      <c r="E140" s="510">
        <f>IF(+J97&lt;F139,J97,D140)</f>
        <v>0</v>
      </c>
      <c r="F140" s="511">
        <f t="shared" si="34"/>
        <v>0</v>
      </c>
      <c r="G140" s="511">
        <f t="shared" si="27"/>
        <v>0</v>
      </c>
      <c r="H140" s="524">
        <f t="shared" si="28"/>
        <v>0</v>
      </c>
      <c r="I140" s="573">
        <f t="shared" si="29"/>
        <v>0</v>
      </c>
      <c r="J140" s="505">
        <f t="shared" si="30"/>
        <v>0</v>
      </c>
      <c r="K140" s="505"/>
      <c r="L140" s="513"/>
      <c r="M140" s="505">
        <f t="shared" si="31"/>
        <v>0</v>
      </c>
      <c r="N140" s="513"/>
      <c r="O140" s="505">
        <f t="shared" si="32"/>
        <v>0</v>
      </c>
      <c r="P140" s="505">
        <f t="shared" si="33"/>
        <v>0</v>
      </c>
      <c r="Q140" s="244"/>
      <c r="R140" s="244"/>
      <c r="S140" s="244"/>
      <c r="T140" s="244"/>
      <c r="U140" s="244"/>
    </row>
    <row r="141" spans="2:21" ht="12.5">
      <c r="B141" s="145" t="str">
        <f t="shared" si="26"/>
        <v/>
      </c>
      <c r="C141" s="496">
        <f>IF(D94="","-",+C140+1)</f>
        <v>2053</v>
      </c>
      <c r="D141" s="350">
        <f>IF(F140+SUM(E$100:E140)=D$93,F140,D$93-SUM(E$100:E140))</f>
        <v>0</v>
      </c>
      <c r="E141" s="510">
        <f>IF(+J97&lt;F140,J97,D141)</f>
        <v>0</v>
      </c>
      <c r="F141" s="511">
        <f t="shared" si="34"/>
        <v>0</v>
      </c>
      <c r="G141" s="511">
        <f t="shared" si="27"/>
        <v>0</v>
      </c>
      <c r="H141" s="524">
        <f t="shared" si="28"/>
        <v>0</v>
      </c>
      <c r="I141" s="573">
        <f t="shared" si="29"/>
        <v>0</v>
      </c>
      <c r="J141" s="505">
        <f t="shared" si="30"/>
        <v>0</v>
      </c>
      <c r="K141" s="505"/>
      <c r="L141" s="513"/>
      <c r="M141" s="505">
        <f t="shared" si="31"/>
        <v>0</v>
      </c>
      <c r="N141" s="513"/>
      <c r="O141" s="505">
        <f t="shared" si="32"/>
        <v>0</v>
      </c>
      <c r="P141" s="505">
        <f t="shared" si="33"/>
        <v>0</v>
      </c>
      <c r="Q141" s="244"/>
      <c r="R141" s="244"/>
      <c r="S141" s="244"/>
      <c r="T141" s="244"/>
      <c r="U141" s="244"/>
    </row>
    <row r="142" spans="2:21" ht="12.5">
      <c r="B142" s="145" t="str">
        <f t="shared" si="26"/>
        <v/>
      </c>
      <c r="C142" s="496">
        <f>IF(D94="","-",+C141+1)</f>
        <v>2054</v>
      </c>
      <c r="D142" s="350">
        <f>IF(F141+SUM(E$100:E141)=D$93,F141,D$93-SUM(E$100:E141))</f>
        <v>0</v>
      </c>
      <c r="E142" s="510">
        <f>IF(+J97&lt;F141,J97,D142)</f>
        <v>0</v>
      </c>
      <c r="F142" s="511">
        <f t="shared" si="34"/>
        <v>0</v>
      </c>
      <c r="G142" s="511">
        <f t="shared" si="27"/>
        <v>0</v>
      </c>
      <c r="H142" s="524">
        <f t="shared" si="28"/>
        <v>0</v>
      </c>
      <c r="I142" s="573">
        <f t="shared" si="29"/>
        <v>0</v>
      </c>
      <c r="J142" s="505">
        <f t="shared" si="30"/>
        <v>0</v>
      </c>
      <c r="K142" s="505"/>
      <c r="L142" s="513"/>
      <c r="M142" s="505">
        <f t="shared" si="31"/>
        <v>0</v>
      </c>
      <c r="N142" s="513"/>
      <c r="O142" s="505">
        <f t="shared" si="32"/>
        <v>0</v>
      </c>
      <c r="P142" s="505">
        <f t="shared" si="33"/>
        <v>0</v>
      </c>
      <c r="Q142" s="244"/>
      <c r="R142" s="244"/>
      <c r="S142" s="244"/>
      <c r="T142" s="244"/>
      <c r="U142" s="244"/>
    </row>
    <row r="143" spans="2:21" ht="12.5">
      <c r="B143" s="145" t="str">
        <f t="shared" si="26"/>
        <v/>
      </c>
      <c r="C143" s="496">
        <f>IF(D94="","-",+C142+1)</f>
        <v>2055</v>
      </c>
      <c r="D143" s="350">
        <f>IF(F142+SUM(E$100:E142)=D$93,F142,D$93-SUM(E$100:E142))</f>
        <v>0</v>
      </c>
      <c r="E143" s="510">
        <f>IF(+J97&lt;F142,J97,D143)</f>
        <v>0</v>
      </c>
      <c r="F143" s="511">
        <f t="shared" si="34"/>
        <v>0</v>
      </c>
      <c r="G143" s="511">
        <f t="shared" si="27"/>
        <v>0</v>
      </c>
      <c r="H143" s="524">
        <f t="shared" si="28"/>
        <v>0</v>
      </c>
      <c r="I143" s="573">
        <f t="shared" si="29"/>
        <v>0</v>
      </c>
      <c r="J143" s="505">
        <f t="shared" si="30"/>
        <v>0</v>
      </c>
      <c r="K143" s="505"/>
      <c r="L143" s="513"/>
      <c r="M143" s="505">
        <f t="shared" si="31"/>
        <v>0</v>
      </c>
      <c r="N143" s="513"/>
      <c r="O143" s="505">
        <f t="shared" si="32"/>
        <v>0</v>
      </c>
      <c r="P143" s="505">
        <f t="shared" si="33"/>
        <v>0</v>
      </c>
      <c r="Q143" s="244"/>
      <c r="R143" s="244"/>
      <c r="S143" s="244"/>
      <c r="T143" s="244"/>
      <c r="U143" s="244"/>
    </row>
    <row r="144" spans="2:21" ht="12.5">
      <c r="B144" s="145" t="str">
        <f t="shared" si="26"/>
        <v/>
      </c>
      <c r="C144" s="496">
        <f>IF(D94="","-",+C143+1)</f>
        <v>2056</v>
      </c>
      <c r="D144" s="350">
        <f>IF(F143+SUM(E$100:E143)=D$93,F143,D$93-SUM(E$100:E143))</f>
        <v>0</v>
      </c>
      <c r="E144" s="510">
        <f>IF(+J97&lt;F143,J97,D144)</f>
        <v>0</v>
      </c>
      <c r="F144" s="511">
        <f t="shared" si="34"/>
        <v>0</v>
      </c>
      <c r="G144" s="511">
        <f t="shared" si="27"/>
        <v>0</v>
      </c>
      <c r="H144" s="524">
        <f t="shared" si="28"/>
        <v>0</v>
      </c>
      <c r="I144" s="573">
        <f t="shared" si="29"/>
        <v>0</v>
      </c>
      <c r="J144" s="505">
        <f t="shared" si="30"/>
        <v>0</v>
      </c>
      <c r="K144" s="505"/>
      <c r="L144" s="513"/>
      <c r="M144" s="505">
        <f t="shared" si="31"/>
        <v>0</v>
      </c>
      <c r="N144" s="513"/>
      <c r="O144" s="505">
        <f t="shared" si="32"/>
        <v>0</v>
      </c>
      <c r="P144" s="505">
        <f t="shared" si="33"/>
        <v>0</v>
      </c>
      <c r="Q144" s="244"/>
      <c r="R144" s="244"/>
      <c r="S144" s="244"/>
      <c r="T144" s="244"/>
      <c r="U144" s="244"/>
    </row>
    <row r="145" spans="2:21" ht="12.5">
      <c r="B145" s="145" t="str">
        <f t="shared" si="26"/>
        <v/>
      </c>
      <c r="C145" s="496">
        <f>IF(D94="","-",+C144+1)</f>
        <v>2057</v>
      </c>
      <c r="D145" s="350">
        <f>IF(F144+SUM(E$100:E144)=D$93,F144,D$93-SUM(E$100:E144))</f>
        <v>0</v>
      </c>
      <c r="E145" s="510">
        <f>IF(+J97&lt;F144,J97,D145)</f>
        <v>0</v>
      </c>
      <c r="F145" s="511">
        <f t="shared" si="34"/>
        <v>0</v>
      </c>
      <c r="G145" s="511">
        <f t="shared" si="27"/>
        <v>0</v>
      </c>
      <c r="H145" s="524">
        <f t="shared" si="28"/>
        <v>0</v>
      </c>
      <c r="I145" s="573">
        <f t="shared" si="29"/>
        <v>0</v>
      </c>
      <c r="J145" s="505">
        <f t="shared" si="30"/>
        <v>0</v>
      </c>
      <c r="K145" s="505"/>
      <c r="L145" s="513"/>
      <c r="M145" s="505">
        <f t="shared" si="31"/>
        <v>0</v>
      </c>
      <c r="N145" s="513"/>
      <c r="O145" s="505">
        <f t="shared" si="32"/>
        <v>0</v>
      </c>
      <c r="P145" s="505">
        <f t="shared" si="33"/>
        <v>0</v>
      </c>
      <c r="Q145" s="244"/>
      <c r="R145" s="244"/>
      <c r="S145" s="244"/>
      <c r="T145" s="244"/>
      <c r="U145" s="244"/>
    </row>
    <row r="146" spans="2:21" ht="12.5">
      <c r="B146" s="145" t="str">
        <f t="shared" si="26"/>
        <v/>
      </c>
      <c r="C146" s="496">
        <f>IF(D94="","-",+C145+1)</f>
        <v>2058</v>
      </c>
      <c r="D146" s="350">
        <f>IF(F145+SUM(E$100:E145)=D$93,F145,D$93-SUM(E$100:E145))</f>
        <v>0</v>
      </c>
      <c r="E146" s="510">
        <f>IF(+J97&lt;F145,J97,D146)</f>
        <v>0</v>
      </c>
      <c r="F146" s="511">
        <f t="shared" si="34"/>
        <v>0</v>
      </c>
      <c r="G146" s="511">
        <f t="shared" si="27"/>
        <v>0</v>
      </c>
      <c r="H146" s="524">
        <f t="shared" si="28"/>
        <v>0</v>
      </c>
      <c r="I146" s="573">
        <f t="shared" si="29"/>
        <v>0</v>
      </c>
      <c r="J146" s="505">
        <f t="shared" si="30"/>
        <v>0</v>
      </c>
      <c r="K146" s="505"/>
      <c r="L146" s="513"/>
      <c r="M146" s="505">
        <f t="shared" si="31"/>
        <v>0</v>
      </c>
      <c r="N146" s="513"/>
      <c r="O146" s="505">
        <f t="shared" si="32"/>
        <v>0</v>
      </c>
      <c r="P146" s="505">
        <f t="shared" si="33"/>
        <v>0</v>
      </c>
      <c r="Q146" s="244"/>
      <c r="R146" s="244"/>
      <c r="S146" s="244"/>
      <c r="T146" s="244"/>
      <c r="U146" s="244"/>
    </row>
    <row r="147" spans="2:21" ht="12.5">
      <c r="B147" s="145" t="str">
        <f t="shared" si="26"/>
        <v/>
      </c>
      <c r="C147" s="496">
        <f>IF(D94="","-",+C146+1)</f>
        <v>2059</v>
      </c>
      <c r="D147" s="350">
        <f>IF(F146+SUM(E$100:E146)=D$93,F146,D$93-SUM(E$100:E146))</f>
        <v>0</v>
      </c>
      <c r="E147" s="510">
        <f>IF(+J97&lt;F146,J97,D147)</f>
        <v>0</v>
      </c>
      <c r="F147" s="511">
        <f t="shared" si="34"/>
        <v>0</v>
      </c>
      <c r="G147" s="511">
        <f t="shared" si="27"/>
        <v>0</v>
      </c>
      <c r="H147" s="524">
        <f t="shared" si="28"/>
        <v>0</v>
      </c>
      <c r="I147" s="573">
        <f t="shared" si="29"/>
        <v>0</v>
      </c>
      <c r="J147" s="505">
        <f t="shared" si="30"/>
        <v>0</v>
      </c>
      <c r="K147" s="505"/>
      <c r="L147" s="513"/>
      <c r="M147" s="505">
        <f t="shared" si="31"/>
        <v>0</v>
      </c>
      <c r="N147" s="513"/>
      <c r="O147" s="505">
        <f t="shared" si="32"/>
        <v>0</v>
      </c>
      <c r="P147" s="505">
        <f t="shared" si="33"/>
        <v>0</v>
      </c>
      <c r="Q147" s="244"/>
      <c r="R147" s="244"/>
      <c r="S147" s="244"/>
      <c r="T147" s="244"/>
      <c r="U147" s="244"/>
    </row>
    <row r="148" spans="2:21" ht="12.5">
      <c r="B148" s="145" t="str">
        <f t="shared" si="26"/>
        <v/>
      </c>
      <c r="C148" s="496">
        <f>IF(D94="","-",+C147+1)</f>
        <v>2060</v>
      </c>
      <c r="D148" s="350">
        <f>IF(F147+SUM(E$100:E147)=D$93,F147,D$93-SUM(E$100:E147))</f>
        <v>0</v>
      </c>
      <c r="E148" s="510">
        <f>IF(+J97&lt;F147,J97,D148)</f>
        <v>0</v>
      </c>
      <c r="F148" s="511">
        <f t="shared" si="34"/>
        <v>0</v>
      </c>
      <c r="G148" s="511">
        <f t="shared" si="27"/>
        <v>0</v>
      </c>
      <c r="H148" s="524">
        <f t="shared" si="28"/>
        <v>0</v>
      </c>
      <c r="I148" s="573">
        <f t="shared" si="29"/>
        <v>0</v>
      </c>
      <c r="J148" s="505">
        <f t="shared" si="30"/>
        <v>0</v>
      </c>
      <c r="K148" s="505"/>
      <c r="L148" s="513"/>
      <c r="M148" s="505">
        <f t="shared" si="31"/>
        <v>0</v>
      </c>
      <c r="N148" s="513"/>
      <c r="O148" s="505">
        <f t="shared" si="32"/>
        <v>0</v>
      </c>
      <c r="P148" s="505">
        <f t="shared" si="33"/>
        <v>0</v>
      </c>
      <c r="Q148" s="244"/>
      <c r="R148" s="244"/>
      <c r="S148" s="244"/>
      <c r="T148" s="244"/>
      <c r="U148" s="244"/>
    </row>
    <row r="149" spans="2:21" ht="12.5">
      <c r="B149" s="145" t="str">
        <f t="shared" si="26"/>
        <v/>
      </c>
      <c r="C149" s="496">
        <f>IF(D94="","-",+C148+1)</f>
        <v>2061</v>
      </c>
      <c r="D149" s="350">
        <f>IF(F148+SUM(E$100:E148)=D$93,F148,D$93-SUM(E$100:E148))</f>
        <v>0</v>
      </c>
      <c r="E149" s="510">
        <f>IF(+J97&lt;F148,J97,D149)</f>
        <v>0</v>
      </c>
      <c r="F149" s="511">
        <f t="shared" si="34"/>
        <v>0</v>
      </c>
      <c r="G149" s="511">
        <f t="shared" si="27"/>
        <v>0</v>
      </c>
      <c r="H149" s="524">
        <f t="shared" si="28"/>
        <v>0</v>
      </c>
      <c r="I149" s="573">
        <f t="shared" si="29"/>
        <v>0</v>
      </c>
      <c r="J149" s="505">
        <f t="shared" si="30"/>
        <v>0</v>
      </c>
      <c r="K149" s="505"/>
      <c r="L149" s="513"/>
      <c r="M149" s="505">
        <f t="shared" si="31"/>
        <v>0</v>
      </c>
      <c r="N149" s="513"/>
      <c r="O149" s="505">
        <f t="shared" si="32"/>
        <v>0</v>
      </c>
      <c r="P149" s="505">
        <f t="shared" si="33"/>
        <v>0</v>
      </c>
      <c r="Q149" s="244"/>
      <c r="R149" s="244"/>
      <c r="S149" s="244"/>
      <c r="T149" s="244"/>
      <c r="U149" s="244"/>
    </row>
    <row r="150" spans="2:21" ht="12.5">
      <c r="B150" s="145" t="str">
        <f t="shared" si="26"/>
        <v/>
      </c>
      <c r="C150" s="496">
        <f>IF(D94="","-",+C149+1)</f>
        <v>2062</v>
      </c>
      <c r="D150" s="350">
        <f>IF(F149+SUM(E$100:E149)=D$93,F149,D$93-SUM(E$100:E149))</f>
        <v>0</v>
      </c>
      <c r="E150" s="510">
        <f>IF(+J97&lt;F149,J97,D150)</f>
        <v>0</v>
      </c>
      <c r="F150" s="511">
        <f t="shared" si="34"/>
        <v>0</v>
      </c>
      <c r="G150" s="511">
        <f t="shared" si="27"/>
        <v>0</v>
      </c>
      <c r="H150" s="524">
        <f t="shared" si="28"/>
        <v>0</v>
      </c>
      <c r="I150" s="573">
        <f t="shared" si="29"/>
        <v>0</v>
      </c>
      <c r="J150" s="505">
        <f t="shared" si="30"/>
        <v>0</v>
      </c>
      <c r="K150" s="505"/>
      <c r="L150" s="513"/>
      <c r="M150" s="505">
        <f t="shared" si="31"/>
        <v>0</v>
      </c>
      <c r="N150" s="513"/>
      <c r="O150" s="505">
        <f t="shared" si="32"/>
        <v>0</v>
      </c>
      <c r="P150" s="505">
        <f t="shared" si="33"/>
        <v>0</v>
      </c>
      <c r="Q150" s="244"/>
      <c r="R150" s="244"/>
      <c r="S150" s="244"/>
      <c r="T150" s="244"/>
      <c r="U150" s="244"/>
    </row>
    <row r="151" spans="2:21" ht="12.5">
      <c r="B151" s="145" t="str">
        <f t="shared" si="26"/>
        <v/>
      </c>
      <c r="C151" s="496">
        <f>IF(D94="","-",+C150+1)</f>
        <v>2063</v>
      </c>
      <c r="D151" s="350">
        <f>IF(F150+SUM(E$100:E150)=D$93,F150,D$93-SUM(E$100:E150))</f>
        <v>0</v>
      </c>
      <c r="E151" s="510">
        <f>IF(+J97&lt;F150,J97,D151)</f>
        <v>0</v>
      </c>
      <c r="F151" s="511">
        <f t="shared" si="34"/>
        <v>0</v>
      </c>
      <c r="G151" s="511">
        <f t="shared" si="27"/>
        <v>0</v>
      </c>
      <c r="H151" s="524">
        <f t="shared" si="28"/>
        <v>0</v>
      </c>
      <c r="I151" s="573">
        <f t="shared" si="29"/>
        <v>0</v>
      </c>
      <c r="J151" s="505">
        <f t="shared" si="30"/>
        <v>0</v>
      </c>
      <c r="K151" s="505"/>
      <c r="L151" s="513"/>
      <c r="M151" s="505">
        <f t="shared" si="31"/>
        <v>0</v>
      </c>
      <c r="N151" s="513"/>
      <c r="O151" s="505">
        <f t="shared" si="32"/>
        <v>0</v>
      </c>
      <c r="P151" s="505">
        <f t="shared" si="33"/>
        <v>0</v>
      </c>
      <c r="Q151" s="244"/>
      <c r="R151" s="244"/>
      <c r="S151" s="244"/>
      <c r="T151" s="244"/>
      <c r="U151" s="244"/>
    </row>
    <row r="152" spans="2:21" ht="12.5">
      <c r="B152" s="145" t="str">
        <f t="shared" si="26"/>
        <v/>
      </c>
      <c r="C152" s="496">
        <f>IF(D94="","-",+C151+1)</f>
        <v>2064</v>
      </c>
      <c r="D152" s="350">
        <f>IF(F151+SUM(E$100:E151)=D$93,F151,D$93-SUM(E$100:E151))</f>
        <v>0</v>
      </c>
      <c r="E152" s="510">
        <f>IF(+J97&lt;F151,J97,D152)</f>
        <v>0</v>
      </c>
      <c r="F152" s="511">
        <f t="shared" si="34"/>
        <v>0</v>
      </c>
      <c r="G152" s="511">
        <f t="shared" si="27"/>
        <v>0</v>
      </c>
      <c r="H152" s="524">
        <f t="shared" si="28"/>
        <v>0</v>
      </c>
      <c r="I152" s="573">
        <f t="shared" si="29"/>
        <v>0</v>
      </c>
      <c r="J152" s="505">
        <f t="shared" si="30"/>
        <v>0</v>
      </c>
      <c r="K152" s="505"/>
      <c r="L152" s="513"/>
      <c r="M152" s="505">
        <f t="shared" si="31"/>
        <v>0</v>
      </c>
      <c r="N152" s="513"/>
      <c r="O152" s="505">
        <f t="shared" si="32"/>
        <v>0</v>
      </c>
      <c r="P152" s="505">
        <f t="shared" si="33"/>
        <v>0</v>
      </c>
      <c r="Q152" s="244"/>
      <c r="R152" s="244"/>
      <c r="S152" s="244"/>
      <c r="T152" s="244"/>
      <c r="U152" s="244"/>
    </row>
    <row r="153" spans="2:21" ht="12.5">
      <c r="B153" s="145" t="str">
        <f t="shared" si="26"/>
        <v/>
      </c>
      <c r="C153" s="496">
        <f>IF(D94="","-",+C152+1)</f>
        <v>2065</v>
      </c>
      <c r="D153" s="350">
        <f>IF(F152+SUM(E$100:E152)=D$93,F152,D$93-SUM(E$100:E152))</f>
        <v>0</v>
      </c>
      <c r="E153" s="510">
        <f>IF(+J97&lt;F152,J97,D153)</f>
        <v>0</v>
      </c>
      <c r="F153" s="511">
        <f t="shared" si="34"/>
        <v>0</v>
      </c>
      <c r="G153" s="511">
        <f t="shared" si="27"/>
        <v>0</v>
      </c>
      <c r="H153" s="524">
        <f t="shared" si="28"/>
        <v>0</v>
      </c>
      <c r="I153" s="573">
        <f t="shared" si="29"/>
        <v>0</v>
      </c>
      <c r="J153" s="505">
        <f t="shared" si="30"/>
        <v>0</v>
      </c>
      <c r="K153" s="505"/>
      <c r="L153" s="513"/>
      <c r="M153" s="505">
        <f t="shared" si="31"/>
        <v>0</v>
      </c>
      <c r="N153" s="513"/>
      <c r="O153" s="505">
        <f t="shared" si="32"/>
        <v>0</v>
      </c>
      <c r="P153" s="505">
        <f t="shared" si="33"/>
        <v>0</v>
      </c>
      <c r="Q153" s="244"/>
      <c r="R153" s="244"/>
      <c r="S153" s="244"/>
      <c r="T153" s="244"/>
      <c r="U153" s="244"/>
    </row>
    <row r="154" spans="2:21" ht="12.5">
      <c r="B154" s="145" t="str">
        <f t="shared" si="26"/>
        <v/>
      </c>
      <c r="C154" s="496">
        <f>IF(D94="","-",+C153+1)</f>
        <v>2066</v>
      </c>
      <c r="D154" s="350">
        <f>IF(F153+SUM(E$100:E153)=D$93,F153,D$93-SUM(E$100:E153))</f>
        <v>0</v>
      </c>
      <c r="E154" s="510">
        <f>IF(+J97&lt;F153,J97,D154)</f>
        <v>0</v>
      </c>
      <c r="F154" s="511">
        <f t="shared" si="34"/>
        <v>0</v>
      </c>
      <c r="G154" s="511">
        <f t="shared" si="27"/>
        <v>0</v>
      </c>
      <c r="H154" s="524">
        <f t="shared" si="28"/>
        <v>0</v>
      </c>
      <c r="I154" s="573">
        <f t="shared" si="29"/>
        <v>0</v>
      </c>
      <c r="J154" s="505">
        <f t="shared" si="30"/>
        <v>0</v>
      </c>
      <c r="K154" s="505"/>
      <c r="L154" s="513"/>
      <c r="M154" s="505">
        <f t="shared" si="31"/>
        <v>0</v>
      </c>
      <c r="N154" s="513"/>
      <c r="O154" s="505">
        <f t="shared" si="32"/>
        <v>0</v>
      </c>
      <c r="P154" s="505">
        <f t="shared" si="33"/>
        <v>0</v>
      </c>
      <c r="Q154" s="244"/>
      <c r="R154" s="244"/>
      <c r="S154" s="244"/>
      <c r="T154" s="244"/>
      <c r="U154" s="244"/>
    </row>
    <row r="155" spans="2:21" ht="13" thickBot="1">
      <c r="B155" s="145" t="str">
        <f t="shared" si="26"/>
        <v/>
      </c>
      <c r="C155" s="525">
        <f>IF(D94="","-",+C154+1)</f>
        <v>2067</v>
      </c>
      <c r="D155" s="528">
        <f>IF(F154+SUM(E$100:E154)=D$93,F154,D$93-SUM(E$100:E154))</f>
        <v>0</v>
      </c>
      <c r="E155" s="527">
        <f>IF(+J97&lt;F154,J97,D155)</f>
        <v>0</v>
      </c>
      <c r="F155" s="528">
        <f t="shared" si="34"/>
        <v>0</v>
      </c>
      <c r="G155" s="528">
        <f t="shared" si="27"/>
        <v>0</v>
      </c>
      <c r="H155" s="529">
        <f t="shared" si="28"/>
        <v>0</v>
      </c>
      <c r="I155" s="574">
        <f t="shared" si="29"/>
        <v>0</v>
      </c>
      <c r="J155" s="532">
        <f t="shared" si="30"/>
        <v>0</v>
      </c>
      <c r="K155" s="505"/>
      <c r="L155" s="531"/>
      <c r="M155" s="532">
        <f t="shared" si="31"/>
        <v>0</v>
      </c>
      <c r="N155" s="531"/>
      <c r="O155" s="532">
        <f t="shared" si="32"/>
        <v>0</v>
      </c>
      <c r="P155" s="532">
        <f t="shared" si="33"/>
        <v>0</v>
      </c>
      <c r="Q155" s="244"/>
      <c r="R155" s="244"/>
      <c r="S155" s="244"/>
      <c r="T155" s="244"/>
      <c r="U155" s="244"/>
    </row>
    <row r="156" spans="2:21" ht="12.5">
      <c r="C156" s="350" t="s">
        <v>75</v>
      </c>
      <c r="D156" s="295"/>
      <c r="E156" s="295">
        <f>SUM(E100:E155)</f>
        <v>0</v>
      </c>
      <c r="F156" s="295"/>
      <c r="G156" s="295"/>
      <c r="H156" s="295">
        <f>SUM(H100:H155)</f>
        <v>0</v>
      </c>
      <c r="I156" s="295">
        <f>SUM(I100:I155)</f>
        <v>0</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2" priority="1" stopIfTrue="1" operator="equal">
      <formula>$I$10</formula>
    </cfRule>
  </conditionalFormatting>
  <conditionalFormatting sqref="C100:C155">
    <cfRule type="cellIs" dxfId="41"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U163"/>
  <sheetViews>
    <sheetView tabSelected="1" view="pageBreakPreview" zoomScale="85" zoomScaleNormal="100" workbookViewId="0">
      <selection activeCell="A5" sqref="A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6 of 20</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3454824.1726137344</v>
      </c>
      <c r="P5" s="244"/>
      <c r="R5" s="244"/>
      <c r="S5" s="244"/>
      <c r="T5" s="244"/>
      <c r="U5" s="244"/>
    </row>
    <row r="6" spans="1:21" ht="15.5">
      <c r="C6" s="236"/>
      <c r="D6" s="293"/>
      <c r="E6" s="244"/>
      <c r="F6" s="244"/>
      <c r="G6" s="244"/>
      <c r="H6" s="450"/>
      <c r="I6" s="450"/>
      <c r="J6" s="451"/>
      <c r="K6" s="452" t="s">
        <v>243</v>
      </c>
      <c r="L6" s="453"/>
      <c r="M6" s="279"/>
      <c r="N6" s="454">
        <f>VLOOKUP(I10,C17:I73,6)</f>
        <v>3454824.1726137344</v>
      </c>
      <c r="O6" s="244"/>
      <c r="P6" s="244"/>
      <c r="R6" s="244"/>
      <c r="S6" s="244"/>
      <c r="T6" s="244"/>
      <c r="U6" s="244"/>
    </row>
    <row r="7" spans="1:21" ht="13.5" thickBot="1">
      <c r="C7" s="455" t="s">
        <v>46</v>
      </c>
      <c r="D7" s="456" t="s">
        <v>206</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205</v>
      </c>
      <c r="E9" s="466"/>
      <c r="F9" s="466"/>
      <c r="G9" s="466"/>
      <c r="H9" s="466"/>
      <c r="I9" s="467"/>
      <c r="J9" s="468"/>
      <c r="O9" s="469"/>
      <c r="P9" s="279"/>
      <c r="R9" s="244"/>
      <c r="S9" s="244"/>
      <c r="T9" s="244"/>
      <c r="U9" s="244"/>
    </row>
    <row r="10" spans="1:21" ht="13">
      <c r="C10" s="470" t="s">
        <v>49</v>
      </c>
      <c r="D10" s="471">
        <v>28914235.739999998</v>
      </c>
      <c r="E10" s="300" t="s">
        <v>50</v>
      </c>
      <c r="F10" s="469"/>
      <c r="G10" s="409"/>
      <c r="H10" s="409"/>
      <c r="I10" s="472">
        <f>+OKT.WS.F.BPU.ATRR.Projected!R100</f>
        <v>2020</v>
      </c>
      <c r="J10" s="468"/>
      <c r="K10" s="295" t="s">
        <v>51</v>
      </c>
      <c r="O10" s="279"/>
      <c r="P10" s="279"/>
      <c r="R10" s="244"/>
      <c r="S10" s="244"/>
      <c r="T10" s="244"/>
      <c r="U10" s="244"/>
    </row>
    <row r="11" spans="1:21" ht="12.5">
      <c r="C11" s="473" t="s">
        <v>52</v>
      </c>
      <c r="D11" s="474">
        <v>2013</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8</v>
      </c>
      <c r="E12" s="473" t="s">
        <v>55</v>
      </c>
      <c r="F12" s="409"/>
      <c r="G12" s="221"/>
      <c r="H12" s="221"/>
      <c r="I12" s="477">
        <f>OKT.WS.F.BPU.ATRR.Projected!$F$78</f>
        <v>0.1064171487591708</v>
      </c>
      <c r="J12" s="579"/>
      <c r="K12" s="145" t="s">
        <v>56</v>
      </c>
      <c r="O12" s="279"/>
      <c r="P12" s="279"/>
      <c r="R12" s="244"/>
      <c r="S12" s="244"/>
      <c r="T12" s="244"/>
      <c r="U12" s="244"/>
    </row>
    <row r="13" spans="1:21" ht="12.5">
      <c r="C13" s="473" t="s">
        <v>57</v>
      </c>
      <c r="D13" s="475">
        <f>OKT.WS.F.BPU.ATRR.Projected!F89</f>
        <v>34</v>
      </c>
      <c r="E13" s="473" t="s">
        <v>58</v>
      </c>
      <c r="F13" s="409"/>
      <c r="G13" s="221"/>
      <c r="H13" s="221"/>
      <c r="I13" s="477">
        <f>IF(G5="",I12,OKT.WS.F.BPU.ATRR.Projected!$F$77)</f>
        <v>0.1064171487591708</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850418.69823529408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2013</v>
      </c>
      <c r="D17" s="497">
        <v>6627800</v>
      </c>
      <c r="E17" s="498">
        <v>57327.852379007891</v>
      </c>
      <c r="F17" s="497">
        <v>6570472.1476209918</v>
      </c>
      <c r="G17" s="499">
        <v>692344.48890277033</v>
      </c>
      <c r="H17" s="500">
        <v>692344.48890277033</v>
      </c>
      <c r="I17" s="585">
        <v>0</v>
      </c>
      <c r="J17" s="501"/>
      <c r="K17" s="502">
        <f t="shared" ref="K17:K22" si="1">G17</f>
        <v>692344.48890277033</v>
      </c>
      <c r="L17" s="608">
        <f t="shared" ref="L17:L49" si="2">IF(K17&lt;&gt;0,+G17-K17,0)</f>
        <v>0</v>
      </c>
      <c r="M17" s="609">
        <f t="shared" ref="M17:M22" si="3">H17</f>
        <v>692344.48890277033</v>
      </c>
      <c r="N17" s="587">
        <f t="shared" ref="N17:N49" si="4">IF(M17&lt;&gt;0,+H17-M17,0)</f>
        <v>0</v>
      </c>
      <c r="O17" s="505">
        <f t="shared" ref="O17:O49" si="5">+N17-L17</f>
        <v>0</v>
      </c>
      <c r="P17" s="279"/>
      <c r="R17" s="244"/>
      <c r="S17" s="244"/>
      <c r="T17" s="244"/>
      <c r="U17" s="244"/>
    </row>
    <row r="18" spans="2:21" ht="12.5">
      <c r="B18" s="145" t="str">
        <f t="shared" si="0"/>
        <v>IU</v>
      </c>
      <c r="C18" s="496">
        <f>IF(D11="","-",+C17+1)</f>
        <v>2014</v>
      </c>
      <c r="D18" s="506">
        <v>28510458.147620991</v>
      </c>
      <c r="E18" s="499">
        <v>494200.13235254184</v>
      </c>
      <c r="F18" s="506">
        <v>28016258.015268449</v>
      </c>
      <c r="G18" s="499">
        <v>3554730.1038106573</v>
      </c>
      <c r="H18" s="500">
        <v>3554730.1038106573</v>
      </c>
      <c r="I18" s="501">
        <v>0</v>
      </c>
      <c r="J18" s="501"/>
      <c r="K18" s="507">
        <f t="shared" si="1"/>
        <v>3554730.1038106573</v>
      </c>
      <c r="L18" s="610">
        <f t="shared" ref="L18:L23" si="6">IF(K18&lt;&gt;0,+G18-K18,0)</f>
        <v>0</v>
      </c>
      <c r="M18" s="611">
        <f t="shared" si="3"/>
        <v>3554730.1038106573</v>
      </c>
      <c r="N18" s="501">
        <f>IF(M18&lt;&gt;0,+H18-M18,0)</f>
        <v>0</v>
      </c>
      <c r="O18" s="505">
        <f>+N18-L18</f>
        <v>0</v>
      </c>
      <c r="P18" s="279"/>
      <c r="R18" s="244"/>
      <c r="S18" s="244"/>
      <c r="T18" s="244"/>
      <c r="U18" s="244"/>
    </row>
    <row r="19" spans="2:21" ht="12.5">
      <c r="B19" s="145" t="str">
        <f t="shared" si="0"/>
        <v>IU</v>
      </c>
      <c r="C19" s="496">
        <f>IF(D11="","-",+C18+1)</f>
        <v>2015</v>
      </c>
      <c r="D19" s="506">
        <v>28130872.015268449</v>
      </c>
      <c r="E19" s="499">
        <v>496182.86401993298</v>
      </c>
      <c r="F19" s="506">
        <v>27634689.151248515</v>
      </c>
      <c r="G19" s="499">
        <v>3536753.8544176081</v>
      </c>
      <c r="H19" s="500">
        <v>3536753.8544176081</v>
      </c>
      <c r="I19" s="501">
        <v>0</v>
      </c>
      <c r="J19" s="501"/>
      <c r="K19" s="507">
        <f t="shared" si="1"/>
        <v>3536753.8544176081</v>
      </c>
      <c r="L19" s="508">
        <f t="shared" si="6"/>
        <v>0</v>
      </c>
      <c r="M19" s="507">
        <f t="shared" si="3"/>
        <v>3536753.8544176081</v>
      </c>
      <c r="N19" s="505">
        <f>IF(M19&lt;&gt;0,+H19-M19,0)</f>
        <v>0</v>
      </c>
      <c r="O19" s="505">
        <f>+N19-L19</f>
        <v>0</v>
      </c>
      <c r="P19" s="279"/>
      <c r="R19" s="244"/>
      <c r="S19" s="244"/>
      <c r="T19" s="244"/>
      <c r="U19" s="244"/>
    </row>
    <row r="20" spans="2:21" ht="12.5">
      <c r="B20" s="145" t="str">
        <f t="shared" si="0"/>
        <v>IU</v>
      </c>
      <c r="C20" s="496">
        <f>IF(D11="","-",+C19+1)</f>
        <v>2016</v>
      </c>
      <c r="D20" s="506">
        <v>27866524.891248517</v>
      </c>
      <c r="E20" s="499">
        <v>600822.03590460983</v>
      </c>
      <c r="F20" s="506">
        <v>27265702.855343908</v>
      </c>
      <c r="G20" s="499">
        <v>3542256.1502628839</v>
      </c>
      <c r="H20" s="500">
        <v>3542256.1502628839</v>
      </c>
      <c r="I20" s="501">
        <f t="shared" ref="I20:I49" si="7">H20-G20</f>
        <v>0</v>
      </c>
      <c r="J20" s="501"/>
      <c r="K20" s="507">
        <f t="shared" si="1"/>
        <v>3542256.1502628839</v>
      </c>
      <c r="L20" s="508">
        <f t="shared" si="6"/>
        <v>0</v>
      </c>
      <c r="M20" s="507">
        <f t="shared" si="3"/>
        <v>3542256.1502628839</v>
      </c>
      <c r="N20" s="505">
        <f t="shared" si="4"/>
        <v>0</v>
      </c>
      <c r="O20" s="505">
        <f t="shared" si="5"/>
        <v>0</v>
      </c>
      <c r="P20" s="279"/>
      <c r="R20" s="244"/>
      <c r="S20" s="244"/>
      <c r="T20" s="244"/>
      <c r="U20" s="244"/>
    </row>
    <row r="21" spans="2:21" ht="12.5">
      <c r="B21" s="145" t="str">
        <f t="shared" si="0"/>
        <v/>
      </c>
      <c r="C21" s="496">
        <f>IF(D12="","-",+C20+1)</f>
        <v>2017</v>
      </c>
      <c r="D21" s="506">
        <v>27265702.855343908</v>
      </c>
      <c r="E21" s="499">
        <v>568511.11858112796</v>
      </c>
      <c r="F21" s="506">
        <v>26697191.736762781</v>
      </c>
      <c r="G21" s="499">
        <v>3534850.6884225709</v>
      </c>
      <c r="H21" s="500">
        <v>3534850.6884225709</v>
      </c>
      <c r="I21" s="501">
        <f t="shared" si="7"/>
        <v>0</v>
      </c>
      <c r="J21" s="501"/>
      <c r="K21" s="507">
        <f t="shared" si="1"/>
        <v>3534850.6884225709</v>
      </c>
      <c r="L21" s="508">
        <f t="shared" si="6"/>
        <v>0</v>
      </c>
      <c r="M21" s="507">
        <f t="shared" si="3"/>
        <v>3534850.6884225709</v>
      </c>
      <c r="N21" s="505">
        <f>IF(M21&lt;&gt;0,+H21-M21,0)</f>
        <v>0</v>
      </c>
      <c r="O21" s="505">
        <f>+N21-L21</f>
        <v>0</v>
      </c>
      <c r="P21" s="279"/>
      <c r="R21" s="244"/>
      <c r="S21" s="244"/>
      <c r="T21" s="244"/>
      <c r="U21" s="244"/>
    </row>
    <row r="22" spans="2:21" ht="12.5">
      <c r="B22" s="145" t="str">
        <f t="shared" si="0"/>
        <v/>
      </c>
      <c r="C22" s="496">
        <f>IF(D11="","-",+C21+1)</f>
        <v>2018</v>
      </c>
      <c r="D22" s="506">
        <v>26697191.736762781</v>
      </c>
      <c r="E22" s="499">
        <v>709109.54353113449</v>
      </c>
      <c r="F22" s="506">
        <v>25988082.193231646</v>
      </c>
      <c r="G22" s="499">
        <v>3804133.0137326475</v>
      </c>
      <c r="H22" s="500">
        <v>3804133.0137326475</v>
      </c>
      <c r="I22" s="501">
        <v>0</v>
      </c>
      <c r="J22" s="501"/>
      <c r="K22" s="507">
        <f t="shared" si="1"/>
        <v>3804133.0137326475</v>
      </c>
      <c r="L22" s="508">
        <f t="shared" si="6"/>
        <v>0</v>
      </c>
      <c r="M22" s="507">
        <f t="shared" si="3"/>
        <v>3804133.0137326475</v>
      </c>
      <c r="N22" s="505">
        <f>IF(M22&lt;&gt;0,+H22-M22,0)</f>
        <v>0</v>
      </c>
      <c r="O22" s="505">
        <f>+N22-L22</f>
        <v>0</v>
      </c>
      <c r="P22" s="279"/>
      <c r="R22" s="244"/>
      <c r="S22" s="244"/>
      <c r="T22" s="244"/>
      <c r="U22" s="244"/>
    </row>
    <row r="23" spans="2:21" ht="12.5">
      <c r="B23" s="145" t="str">
        <f t="shared" si="0"/>
        <v/>
      </c>
      <c r="C23" s="496">
        <f>IF(D11="","-",+C22+1)</f>
        <v>2019</v>
      </c>
      <c r="D23" s="506">
        <v>25988082.193231646</v>
      </c>
      <c r="E23" s="499">
        <v>709109.54353113449</v>
      </c>
      <c r="F23" s="506">
        <v>25278972.649700511</v>
      </c>
      <c r="G23" s="499">
        <v>3720819.0052266289</v>
      </c>
      <c r="H23" s="500">
        <v>3720819.0052266289</v>
      </c>
      <c r="I23" s="501">
        <f t="shared" si="7"/>
        <v>0</v>
      </c>
      <c r="J23" s="501"/>
      <c r="K23" s="507">
        <f t="shared" ref="K23" si="8">G23</f>
        <v>3720819.0052266289</v>
      </c>
      <c r="L23" s="508">
        <f t="shared" si="6"/>
        <v>0</v>
      </c>
      <c r="M23" s="507">
        <f t="shared" ref="M23" si="9">H23</f>
        <v>3720819.0052266289</v>
      </c>
      <c r="N23" s="505">
        <f>IF(M23&lt;&gt;0,+H23-M23,0)</f>
        <v>0</v>
      </c>
      <c r="O23" s="505">
        <f>+N23-L23</f>
        <v>0</v>
      </c>
      <c r="P23" s="279"/>
      <c r="R23" s="244"/>
      <c r="S23" s="244"/>
      <c r="T23" s="244"/>
      <c r="U23" s="244"/>
    </row>
    <row r="24" spans="2:21" ht="12.5">
      <c r="B24" s="145" t="str">
        <f t="shared" si="0"/>
        <v/>
      </c>
      <c r="C24" s="496">
        <f>IF(D11="","-",+C23+1)</f>
        <v>2020</v>
      </c>
      <c r="D24" s="506">
        <v>25278972.649700511</v>
      </c>
      <c r="E24" s="499">
        <v>846660.3033934671</v>
      </c>
      <c r="F24" s="506">
        <v>24432312.346307043</v>
      </c>
      <c r="G24" s="499">
        <v>3454824.1726137344</v>
      </c>
      <c r="H24" s="500">
        <v>3454824.1726137344</v>
      </c>
      <c r="I24" s="501">
        <f t="shared" si="7"/>
        <v>0</v>
      </c>
      <c r="J24" s="501"/>
      <c r="K24" s="507">
        <f t="shared" ref="K24" si="10">G24</f>
        <v>3454824.1726137344</v>
      </c>
      <c r="L24" s="508">
        <f t="shared" ref="L24" si="11">IF(K24&lt;&gt;0,+G24-K24,0)</f>
        <v>0</v>
      </c>
      <c r="M24" s="507">
        <f t="shared" ref="M24" si="12">H24</f>
        <v>3454824.1726137344</v>
      </c>
      <c r="N24" s="505">
        <f t="shared" si="4"/>
        <v>0</v>
      </c>
      <c r="O24" s="505">
        <f t="shared" si="5"/>
        <v>0</v>
      </c>
      <c r="P24" s="279"/>
      <c r="R24" s="244"/>
      <c r="S24" s="244"/>
      <c r="T24" s="244"/>
      <c r="U24" s="244"/>
    </row>
    <row r="25" spans="2:21" ht="12.5">
      <c r="B25" s="145" t="str">
        <f t="shared" si="0"/>
        <v/>
      </c>
      <c r="C25" s="496">
        <f>IF(D11="","-",+C24+1)</f>
        <v>2021</v>
      </c>
      <c r="D25" s="509">
        <f>IF(F24+SUM(E$17:E24)=D$10,F24,D$10-SUM(E$17:E24))</f>
        <v>24432312.346307043</v>
      </c>
      <c r="E25" s="510">
        <f>IF(+I14&lt;F24,I14,D25)</f>
        <v>850418.69823529408</v>
      </c>
      <c r="F25" s="511">
        <f t="shared" ref="F25:F49" si="13">+D25-E25</f>
        <v>23581893.648071747</v>
      </c>
      <c r="G25" s="512">
        <f t="shared" ref="G25:G73" si="14">(D25+F25)/2*I$12+E25</f>
        <v>3405186.1491639335</v>
      </c>
      <c r="H25" s="478">
        <f t="shared" ref="H25:H73" si="15">+(D25+F25)/2*I$13+E25</f>
        <v>3405186.1491639335</v>
      </c>
      <c r="I25" s="501">
        <f t="shared" si="7"/>
        <v>0</v>
      </c>
      <c r="J25" s="501"/>
      <c r="K25" s="513"/>
      <c r="L25" s="505">
        <f t="shared" si="2"/>
        <v>0</v>
      </c>
      <c r="M25" s="513"/>
      <c r="N25" s="505">
        <f t="shared" si="4"/>
        <v>0</v>
      </c>
      <c r="O25" s="505">
        <f t="shared" si="5"/>
        <v>0</v>
      </c>
      <c r="P25" s="279"/>
      <c r="R25" s="244"/>
      <c r="S25" s="244"/>
      <c r="T25" s="244"/>
      <c r="U25" s="244"/>
    </row>
    <row r="26" spans="2:21" ht="12.5">
      <c r="B26" s="145" t="str">
        <f t="shared" si="0"/>
        <v/>
      </c>
      <c r="C26" s="496">
        <f>IF(D11="","-",+C25+1)</f>
        <v>2022</v>
      </c>
      <c r="D26" s="509">
        <f>IF(F25+SUM(E$17:E25)=D$10,F25,D$10-SUM(E$17:E25))</f>
        <v>23581893.648071747</v>
      </c>
      <c r="E26" s="510">
        <f>IF(+I14&lt;F25,I14,D26)</f>
        <v>850418.69823529408</v>
      </c>
      <c r="F26" s="511">
        <f t="shared" si="13"/>
        <v>22731474.949836452</v>
      </c>
      <c r="G26" s="512">
        <f t="shared" si="14"/>
        <v>3314687.0160462474</v>
      </c>
      <c r="H26" s="478">
        <f t="shared" si="15"/>
        <v>3314687.0160462474</v>
      </c>
      <c r="I26" s="501">
        <f t="shared" si="7"/>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2023</v>
      </c>
      <c r="D27" s="509">
        <f>IF(F26+SUM(E$17:E26)=D$10,F26,D$10-SUM(E$17:E26))</f>
        <v>22731474.949836452</v>
      </c>
      <c r="E27" s="510">
        <f>IF(+I14&lt;F26,I14,D27)</f>
        <v>850418.69823529408</v>
      </c>
      <c r="F27" s="511">
        <f t="shared" si="13"/>
        <v>21881056.251601156</v>
      </c>
      <c r="G27" s="512">
        <f t="shared" si="14"/>
        <v>3224187.8829285614</v>
      </c>
      <c r="H27" s="478">
        <f t="shared" si="15"/>
        <v>3224187.8829285614</v>
      </c>
      <c r="I27" s="501">
        <f t="shared" si="7"/>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2024</v>
      </c>
      <c r="D28" s="509">
        <f>IF(F27+SUM(E$17:E27)=D$10,F27,D$10-SUM(E$17:E27))</f>
        <v>21881056.251601156</v>
      </c>
      <c r="E28" s="510">
        <f>IF(+I14&lt;F27,I14,D28)</f>
        <v>850418.69823529408</v>
      </c>
      <c r="F28" s="511">
        <f t="shared" si="13"/>
        <v>21030637.55336586</v>
      </c>
      <c r="G28" s="512">
        <f t="shared" si="14"/>
        <v>3133688.7498108754</v>
      </c>
      <c r="H28" s="478">
        <f t="shared" si="15"/>
        <v>3133688.7498108754</v>
      </c>
      <c r="I28" s="501">
        <f t="shared" si="7"/>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21030637.55336586</v>
      </c>
      <c r="E29" s="510">
        <f>IF(+I14&lt;F28,I14,D29)</f>
        <v>850418.69823529408</v>
      </c>
      <c r="F29" s="511">
        <f t="shared" si="13"/>
        <v>20180218.855130564</v>
      </c>
      <c r="G29" s="512">
        <f t="shared" si="14"/>
        <v>3043189.6166931894</v>
      </c>
      <c r="H29" s="478">
        <f t="shared" si="15"/>
        <v>3043189.6166931894</v>
      </c>
      <c r="I29" s="501">
        <f t="shared" si="7"/>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20180218.855130564</v>
      </c>
      <c r="E30" s="510">
        <f>IF(+I14&lt;F29,I14,D30)</f>
        <v>850418.69823529408</v>
      </c>
      <c r="F30" s="511">
        <f t="shared" si="13"/>
        <v>19329800.156895269</v>
      </c>
      <c r="G30" s="512">
        <f t="shared" si="14"/>
        <v>2952690.4835755043</v>
      </c>
      <c r="H30" s="478">
        <f t="shared" si="15"/>
        <v>2952690.4835755043</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19329800.156895269</v>
      </c>
      <c r="E31" s="510">
        <f>IF(+I14&lt;F30,I14,D31)</f>
        <v>850418.69823529408</v>
      </c>
      <c r="F31" s="511">
        <f t="shared" si="13"/>
        <v>18479381.458659973</v>
      </c>
      <c r="G31" s="512">
        <f t="shared" si="14"/>
        <v>2862191.3504578182</v>
      </c>
      <c r="H31" s="478">
        <f t="shared" si="15"/>
        <v>2862191.3504578182</v>
      </c>
      <c r="I31" s="501">
        <f t="shared" si="7"/>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18479381.458659973</v>
      </c>
      <c r="E32" s="510">
        <f>IF(+I14&lt;F31,I14,D32)</f>
        <v>850418.69823529408</v>
      </c>
      <c r="F32" s="511">
        <f>+D32-E32</f>
        <v>17628962.760424677</v>
      </c>
      <c r="G32" s="512">
        <f t="shared" si="14"/>
        <v>2771692.2173401322</v>
      </c>
      <c r="H32" s="478">
        <f t="shared" si="15"/>
        <v>2771692.2173401322</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17628962.760424677</v>
      </c>
      <c r="E33" s="510">
        <f>IF(+I14&lt;F31,I14,D33)</f>
        <v>850418.69823529408</v>
      </c>
      <c r="F33" s="511">
        <f t="shared" si="13"/>
        <v>16778544.062189382</v>
      </c>
      <c r="G33" s="512">
        <f t="shared" si="14"/>
        <v>2681193.0842224462</v>
      </c>
      <c r="H33" s="478">
        <f t="shared" si="15"/>
        <v>2681193.0842224462</v>
      </c>
      <c r="I33" s="501">
        <f t="shared" si="7"/>
        <v>0</v>
      </c>
      <c r="J33" s="501"/>
      <c r="K33" s="513"/>
      <c r="L33" s="505">
        <f t="shared" si="2"/>
        <v>0</v>
      </c>
      <c r="M33" s="513"/>
      <c r="N33" s="505">
        <f t="shared" si="4"/>
        <v>0</v>
      </c>
      <c r="O33" s="505">
        <f t="shared" si="5"/>
        <v>0</v>
      </c>
      <c r="P33" s="279"/>
      <c r="R33" s="244"/>
      <c r="S33" s="244"/>
      <c r="T33" s="244"/>
      <c r="U33" s="244"/>
    </row>
    <row r="34" spans="2:21" ht="12.5">
      <c r="B34" s="145" t="str">
        <f t="shared" si="0"/>
        <v/>
      </c>
      <c r="C34" s="514">
        <f>IF(D11="","-",+C33+1)</f>
        <v>2030</v>
      </c>
      <c r="D34" s="515">
        <f>IF(F33+SUM(E$17:E33)=D$10,F33,D$10-SUM(E$17:E33))</f>
        <v>16778544.062189382</v>
      </c>
      <c r="E34" s="516">
        <f>IF(+I14&lt;F33,I14,D34)</f>
        <v>850418.69823529408</v>
      </c>
      <c r="F34" s="517">
        <f t="shared" si="13"/>
        <v>15928125.363954088</v>
      </c>
      <c r="G34" s="518">
        <f t="shared" si="14"/>
        <v>2590693.9511047602</v>
      </c>
      <c r="H34" s="519">
        <f t="shared" si="15"/>
        <v>2590693.9511047602</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15928125.363954088</v>
      </c>
      <c r="E35" s="510">
        <f>IF(+I14&lt;F34,I14,D35)</f>
        <v>850418.69823529408</v>
      </c>
      <c r="F35" s="511">
        <f t="shared" si="13"/>
        <v>15077706.665718794</v>
      </c>
      <c r="G35" s="512">
        <f t="shared" si="14"/>
        <v>2500194.8179870751</v>
      </c>
      <c r="H35" s="478">
        <f t="shared" si="15"/>
        <v>2500194.8179870751</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15077706.665718794</v>
      </c>
      <c r="E36" s="510">
        <f>IF(+I14&lt;F35,I14,D36)</f>
        <v>850418.69823529408</v>
      </c>
      <c r="F36" s="511">
        <f t="shared" si="13"/>
        <v>14227287.9674835</v>
      </c>
      <c r="G36" s="512">
        <f t="shared" si="14"/>
        <v>2409695.684869389</v>
      </c>
      <c r="H36" s="478">
        <f t="shared" si="15"/>
        <v>2409695.684869389</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14227287.9674835</v>
      </c>
      <c r="E37" s="510">
        <f>IF(+I14&lt;F36,I14,D37)</f>
        <v>850418.69823529408</v>
      </c>
      <c r="F37" s="511">
        <f t="shared" si="13"/>
        <v>13376869.269248206</v>
      </c>
      <c r="G37" s="512">
        <f t="shared" si="14"/>
        <v>2319196.551751704</v>
      </c>
      <c r="H37" s="478">
        <f t="shared" si="15"/>
        <v>2319196.551751704</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13376869.269248206</v>
      </c>
      <c r="E38" s="510">
        <f>IF(+I14&lt;F37,I14,D38)</f>
        <v>850418.69823529408</v>
      </c>
      <c r="F38" s="511">
        <f t="shared" si="13"/>
        <v>12526450.571012912</v>
      </c>
      <c r="G38" s="512">
        <f t="shared" si="14"/>
        <v>2228697.4186340179</v>
      </c>
      <c r="H38" s="478">
        <f t="shared" si="15"/>
        <v>2228697.4186340179</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12526450.571012912</v>
      </c>
      <c r="E39" s="510">
        <f>IF(+I14&lt;F38,I14,D39)</f>
        <v>850418.69823529408</v>
      </c>
      <c r="F39" s="511">
        <f t="shared" si="13"/>
        <v>11676031.872777618</v>
      </c>
      <c r="G39" s="512">
        <f t="shared" si="14"/>
        <v>2138198.2855163324</v>
      </c>
      <c r="H39" s="478">
        <f t="shared" si="15"/>
        <v>2138198.2855163324</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11676031.872777618</v>
      </c>
      <c r="E40" s="510">
        <f>IF(+I14&lt;F39,I14,D40)</f>
        <v>850418.69823529408</v>
      </c>
      <c r="F40" s="511">
        <f t="shared" si="13"/>
        <v>10825613.174542325</v>
      </c>
      <c r="G40" s="512">
        <f t="shared" si="14"/>
        <v>2047699.1523986466</v>
      </c>
      <c r="H40" s="478">
        <f t="shared" si="15"/>
        <v>2047699.1523986466</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10825613.174542325</v>
      </c>
      <c r="E41" s="510">
        <f>IF(+I14&lt;F40,I14,D41)</f>
        <v>850418.69823529408</v>
      </c>
      <c r="F41" s="511">
        <f t="shared" si="13"/>
        <v>9975194.4763070308</v>
      </c>
      <c r="G41" s="512">
        <f t="shared" si="14"/>
        <v>1957200.0192809612</v>
      </c>
      <c r="H41" s="478">
        <f t="shared" si="15"/>
        <v>1957200.0192809612</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9975194.4763070308</v>
      </c>
      <c r="E42" s="510">
        <f>IF(+I14&lt;F41,I14,D42)</f>
        <v>850418.69823529408</v>
      </c>
      <c r="F42" s="511">
        <f t="shared" si="13"/>
        <v>9124775.7780717369</v>
      </c>
      <c r="G42" s="512">
        <f t="shared" si="14"/>
        <v>1866700.8861632752</v>
      </c>
      <c r="H42" s="478">
        <f t="shared" si="15"/>
        <v>1866700.8861632752</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9124775.7780717369</v>
      </c>
      <c r="E43" s="510">
        <f>IF(+I14&lt;F42,I14,D43)</f>
        <v>850418.69823529408</v>
      </c>
      <c r="F43" s="511">
        <f t="shared" si="13"/>
        <v>8274357.0798364431</v>
      </c>
      <c r="G43" s="512">
        <f t="shared" si="14"/>
        <v>1776201.7530455899</v>
      </c>
      <c r="H43" s="478">
        <f t="shared" si="15"/>
        <v>1776201.7530455899</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8274357.0798364431</v>
      </c>
      <c r="E44" s="510">
        <f>IF(+I14&lt;F43,I14,D44)</f>
        <v>850418.69823529408</v>
      </c>
      <c r="F44" s="511">
        <f t="shared" si="13"/>
        <v>7423938.3816011492</v>
      </c>
      <c r="G44" s="512">
        <f t="shared" si="14"/>
        <v>1685702.6199279041</v>
      </c>
      <c r="H44" s="478">
        <f t="shared" si="15"/>
        <v>1685702.6199279041</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7423938.3816011492</v>
      </c>
      <c r="E45" s="510">
        <f>IF(+I14&lt;F44,I14,D45)</f>
        <v>850418.69823529408</v>
      </c>
      <c r="F45" s="511">
        <f t="shared" si="13"/>
        <v>6573519.6833658554</v>
      </c>
      <c r="G45" s="512">
        <f t="shared" si="14"/>
        <v>1595203.4868102185</v>
      </c>
      <c r="H45" s="478">
        <f t="shared" si="15"/>
        <v>1595203.4868102185</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6573519.6833658554</v>
      </c>
      <c r="E46" s="510">
        <f>IF(+I14&lt;F45,I14,D46)</f>
        <v>850418.69823529408</v>
      </c>
      <c r="F46" s="511">
        <f t="shared" si="13"/>
        <v>5723100.9851305615</v>
      </c>
      <c r="G46" s="512">
        <f t="shared" si="14"/>
        <v>1504704.353692533</v>
      </c>
      <c r="H46" s="478">
        <f t="shared" si="15"/>
        <v>1504704.353692533</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5723100.9851305615</v>
      </c>
      <c r="E47" s="510">
        <f>IF(+I14&lt;F46,I14,D47)</f>
        <v>850418.69823529408</v>
      </c>
      <c r="F47" s="511">
        <f t="shared" si="13"/>
        <v>4872682.2868952677</v>
      </c>
      <c r="G47" s="512">
        <f t="shared" si="14"/>
        <v>1414205.2205748472</v>
      </c>
      <c r="H47" s="478">
        <f t="shared" si="15"/>
        <v>1414205.2205748472</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4872682.2868952677</v>
      </c>
      <c r="E48" s="510">
        <f>IF(+I14&lt;F47,I14,D48)</f>
        <v>850418.69823529408</v>
      </c>
      <c r="F48" s="511">
        <f t="shared" si="13"/>
        <v>4022263.5886599738</v>
      </c>
      <c r="G48" s="512">
        <f t="shared" si="14"/>
        <v>1323706.0874571614</v>
      </c>
      <c r="H48" s="478">
        <f t="shared" si="15"/>
        <v>1323706.0874571614</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4022263.5886599738</v>
      </c>
      <c r="E49" s="510">
        <f>IF(+I14&lt;F48,I14,D49)</f>
        <v>850418.69823529408</v>
      </c>
      <c r="F49" s="511">
        <f t="shared" si="13"/>
        <v>3171844.89042468</v>
      </c>
      <c r="G49" s="512">
        <f t="shared" si="14"/>
        <v>1233206.9543394758</v>
      </c>
      <c r="H49" s="478">
        <f t="shared" si="15"/>
        <v>1233206.9543394758</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16">IF(D50=F49,"","IU")</f>
        <v/>
      </c>
      <c r="C50" s="496">
        <f>IF(D11="","-",+C49+1)</f>
        <v>2046</v>
      </c>
      <c r="D50" s="509">
        <f>IF(F49+SUM(E$17:E49)=D$10,F49,D$10-SUM(E$17:E49))</f>
        <v>3171844.89042468</v>
      </c>
      <c r="E50" s="510">
        <f>IF(+I14&lt;F49,I14,D50)</f>
        <v>850418.69823529408</v>
      </c>
      <c r="F50" s="511">
        <f t="shared" ref="F50:F73" si="17">+D50-E50</f>
        <v>2321426.1921893861</v>
      </c>
      <c r="G50" s="512">
        <f t="shared" si="14"/>
        <v>1142707.8212217903</v>
      </c>
      <c r="H50" s="478">
        <f t="shared" si="15"/>
        <v>1142707.8212217903</v>
      </c>
      <c r="I50" s="501">
        <f t="shared" ref="I50:I73" si="18">H50-G50</f>
        <v>0</v>
      </c>
      <c r="J50" s="501"/>
      <c r="K50" s="513"/>
      <c r="L50" s="505">
        <f t="shared" ref="L50:L73" si="19">IF(K50&lt;&gt;0,+G50-K50,0)</f>
        <v>0</v>
      </c>
      <c r="M50" s="513"/>
      <c r="N50" s="505">
        <f t="shared" ref="N50:N73" si="20">IF(M50&lt;&gt;0,+H50-M50,0)</f>
        <v>0</v>
      </c>
      <c r="O50" s="505">
        <f t="shared" ref="O50:O73" si="21">+N50-L50</f>
        <v>0</v>
      </c>
      <c r="P50" s="279"/>
      <c r="R50" s="244"/>
      <c r="S50" s="244"/>
      <c r="T50" s="244"/>
      <c r="U50" s="244"/>
    </row>
    <row r="51" spans="2:21" ht="12.5">
      <c r="B51" s="145" t="str">
        <f t="shared" si="16"/>
        <v/>
      </c>
      <c r="C51" s="496">
        <f>IF(D11="","-",+C50+1)</f>
        <v>2047</v>
      </c>
      <c r="D51" s="509">
        <f>IF(F50+SUM(E$17:E50)=D$10,F50,D$10-SUM(E$17:E50))</f>
        <v>2321426.1921893861</v>
      </c>
      <c r="E51" s="510">
        <f>IF(+I14&lt;F50,I14,D51)</f>
        <v>850418.69823529408</v>
      </c>
      <c r="F51" s="511">
        <f t="shared" si="17"/>
        <v>1471007.493954092</v>
      </c>
      <c r="G51" s="512">
        <f t="shared" si="14"/>
        <v>1052208.6881041045</v>
      </c>
      <c r="H51" s="478">
        <f t="shared" si="15"/>
        <v>1052208.6881041045</v>
      </c>
      <c r="I51" s="501">
        <f t="shared" si="18"/>
        <v>0</v>
      </c>
      <c r="J51" s="501"/>
      <c r="K51" s="513"/>
      <c r="L51" s="505">
        <f t="shared" si="19"/>
        <v>0</v>
      </c>
      <c r="M51" s="513"/>
      <c r="N51" s="505">
        <f t="shared" si="20"/>
        <v>0</v>
      </c>
      <c r="O51" s="505">
        <f t="shared" si="21"/>
        <v>0</v>
      </c>
      <c r="P51" s="279"/>
      <c r="R51" s="244"/>
      <c r="S51" s="244"/>
      <c r="T51" s="244"/>
      <c r="U51" s="244"/>
    </row>
    <row r="52" spans="2:21" ht="12.5">
      <c r="B52" s="145" t="str">
        <f t="shared" si="16"/>
        <v/>
      </c>
      <c r="C52" s="496">
        <f>IF(D11="","-",+C51+1)</f>
        <v>2048</v>
      </c>
      <c r="D52" s="509">
        <f>IF(F51+SUM(E$17:E51)=D$10,F51,D$10-SUM(E$17:E51))</f>
        <v>1471007.493954092</v>
      </c>
      <c r="E52" s="510">
        <f>IF(+I14&lt;F51,I14,D52)</f>
        <v>850418.69823529408</v>
      </c>
      <c r="F52" s="511">
        <f t="shared" si="17"/>
        <v>620588.79571879795</v>
      </c>
      <c r="G52" s="512">
        <f t="shared" si="14"/>
        <v>961709.55498641892</v>
      </c>
      <c r="H52" s="478">
        <f t="shared" si="15"/>
        <v>961709.55498641892</v>
      </c>
      <c r="I52" s="501">
        <f t="shared" si="18"/>
        <v>0</v>
      </c>
      <c r="J52" s="501"/>
      <c r="K52" s="513"/>
      <c r="L52" s="505">
        <f t="shared" si="19"/>
        <v>0</v>
      </c>
      <c r="M52" s="513"/>
      <c r="N52" s="505">
        <f t="shared" si="20"/>
        <v>0</v>
      </c>
      <c r="O52" s="505">
        <f t="shared" si="21"/>
        <v>0</v>
      </c>
      <c r="P52" s="279"/>
      <c r="R52" s="244"/>
      <c r="S52" s="244"/>
      <c r="T52" s="244"/>
      <c r="U52" s="244"/>
    </row>
    <row r="53" spans="2:21" ht="12.5">
      <c r="B53" s="145" t="str">
        <f t="shared" si="16"/>
        <v/>
      </c>
      <c r="C53" s="496">
        <f>IF(D11="","-",+C52+1)</f>
        <v>2049</v>
      </c>
      <c r="D53" s="471">
        <f>IF(F52+SUM(E$17:E52)=D$10,F52,D$10-SUM(E$17:E52))</f>
        <v>620588.79571879795</v>
      </c>
      <c r="E53" s="510">
        <f>IF(+I14&lt;F52,I14,D53)</f>
        <v>620588.79571879795</v>
      </c>
      <c r="F53" s="511">
        <f t="shared" si="17"/>
        <v>0</v>
      </c>
      <c r="G53" s="512">
        <f t="shared" si="14"/>
        <v>653609.44081493898</v>
      </c>
      <c r="H53" s="478">
        <f t="shared" si="15"/>
        <v>653609.44081493898</v>
      </c>
      <c r="I53" s="501">
        <f t="shared" si="18"/>
        <v>0</v>
      </c>
      <c r="J53" s="501"/>
      <c r="K53" s="513"/>
      <c r="L53" s="505">
        <f t="shared" si="19"/>
        <v>0</v>
      </c>
      <c r="M53" s="513"/>
      <c r="N53" s="505">
        <f t="shared" si="20"/>
        <v>0</v>
      </c>
      <c r="O53" s="505">
        <f t="shared" si="21"/>
        <v>0</v>
      </c>
      <c r="P53" s="279"/>
      <c r="R53" s="244"/>
      <c r="S53" s="244"/>
      <c r="T53" s="244"/>
      <c r="U53" s="244"/>
    </row>
    <row r="54" spans="2:21" ht="12.5">
      <c r="B54" s="145" t="str">
        <f t="shared" si="16"/>
        <v/>
      </c>
      <c r="C54" s="496">
        <f>IF(D11="","-",+C53+1)</f>
        <v>2050</v>
      </c>
      <c r="D54" s="509">
        <f>IF(F53+SUM(E$17:E53)=D$10,F53,D$10-SUM(E$17:E53))</f>
        <v>0</v>
      </c>
      <c r="E54" s="510">
        <f>IF(+I14&lt;F53,I14,D54)</f>
        <v>0</v>
      </c>
      <c r="F54" s="511">
        <f t="shared" si="17"/>
        <v>0</v>
      </c>
      <c r="G54" s="512">
        <f t="shared" si="14"/>
        <v>0</v>
      </c>
      <c r="H54" s="478">
        <f t="shared" si="15"/>
        <v>0</v>
      </c>
      <c r="I54" s="501">
        <f t="shared" si="18"/>
        <v>0</v>
      </c>
      <c r="J54" s="501"/>
      <c r="K54" s="513"/>
      <c r="L54" s="505">
        <f t="shared" si="19"/>
        <v>0</v>
      </c>
      <c r="M54" s="513"/>
      <c r="N54" s="505">
        <f t="shared" si="20"/>
        <v>0</v>
      </c>
      <c r="O54" s="505">
        <f t="shared" si="21"/>
        <v>0</v>
      </c>
      <c r="P54" s="279"/>
      <c r="R54" s="244"/>
      <c r="S54" s="244"/>
      <c r="T54" s="244"/>
      <c r="U54" s="244"/>
    </row>
    <row r="55" spans="2:21" ht="12.5">
      <c r="B55" s="145" t="str">
        <f t="shared" si="16"/>
        <v/>
      </c>
      <c r="C55" s="496">
        <f>IF(D11="","-",+C54+1)</f>
        <v>2051</v>
      </c>
      <c r="D55" s="509">
        <f>IF(F54+SUM(E$17:E54)=D$10,F54,D$10-SUM(E$17:E54))</f>
        <v>0</v>
      </c>
      <c r="E55" s="510">
        <f>IF(+I14&lt;F54,I14,D55)</f>
        <v>0</v>
      </c>
      <c r="F55" s="511">
        <f t="shared" si="17"/>
        <v>0</v>
      </c>
      <c r="G55" s="512">
        <f t="shared" si="14"/>
        <v>0</v>
      </c>
      <c r="H55" s="478">
        <f t="shared" si="15"/>
        <v>0</v>
      </c>
      <c r="I55" s="501">
        <f t="shared" si="18"/>
        <v>0</v>
      </c>
      <c r="J55" s="501"/>
      <c r="K55" s="513"/>
      <c r="L55" s="505">
        <f t="shared" si="19"/>
        <v>0</v>
      </c>
      <c r="M55" s="513"/>
      <c r="N55" s="505">
        <f t="shared" si="20"/>
        <v>0</v>
      </c>
      <c r="O55" s="505">
        <f t="shared" si="21"/>
        <v>0</v>
      </c>
      <c r="P55" s="279"/>
      <c r="R55" s="244"/>
      <c r="S55" s="244"/>
      <c r="T55" s="244"/>
      <c r="U55" s="244"/>
    </row>
    <row r="56" spans="2:21" ht="12.5">
      <c r="B56" s="145" t="str">
        <f t="shared" si="16"/>
        <v/>
      </c>
      <c r="C56" s="496">
        <f>IF(D11="","-",+C55+1)</f>
        <v>2052</v>
      </c>
      <c r="D56" s="509">
        <f>IF(F55+SUM(E$17:E55)=D$10,F55,D$10-SUM(E$17:E55))</f>
        <v>0</v>
      </c>
      <c r="E56" s="510">
        <f>IF(+I14&lt;F55,I14,D56)</f>
        <v>0</v>
      </c>
      <c r="F56" s="511">
        <f t="shared" si="17"/>
        <v>0</v>
      </c>
      <c r="G56" s="512">
        <f t="shared" si="14"/>
        <v>0</v>
      </c>
      <c r="H56" s="478">
        <f t="shared" si="15"/>
        <v>0</v>
      </c>
      <c r="I56" s="501">
        <f t="shared" si="18"/>
        <v>0</v>
      </c>
      <c r="J56" s="501"/>
      <c r="K56" s="513"/>
      <c r="L56" s="505">
        <f t="shared" si="19"/>
        <v>0</v>
      </c>
      <c r="M56" s="513"/>
      <c r="N56" s="505">
        <f t="shared" si="20"/>
        <v>0</v>
      </c>
      <c r="O56" s="505">
        <f t="shared" si="21"/>
        <v>0</v>
      </c>
      <c r="P56" s="279"/>
      <c r="R56" s="244"/>
      <c r="S56" s="244"/>
      <c r="T56" s="244"/>
      <c r="U56" s="244"/>
    </row>
    <row r="57" spans="2:21" ht="12.5">
      <c r="B57" s="145" t="str">
        <f t="shared" si="16"/>
        <v/>
      </c>
      <c r="C57" s="496">
        <f>IF(D11="","-",+C56+1)</f>
        <v>2053</v>
      </c>
      <c r="D57" s="509">
        <f>IF(F56+SUM(E$17:E56)=D$10,F56,D$10-SUM(E$17:E56))</f>
        <v>0</v>
      </c>
      <c r="E57" s="510">
        <f>IF(+I14&lt;F56,I14,D57)</f>
        <v>0</v>
      </c>
      <c r="F57" s="511">
        <f t="shared" si="17"/>
        <v>0</v>
      </c>
      <c r="G57" s="512">
        <f t="shared" si="14"/>
        <v>0</v>
      </c>
      <c r="H57" s="478">
        <f t="shared" si="15"/>
        <v>0</v>
      </c>
      <c r="I57" s="501">
        <f t="shared" si="18"/>
        <v>0</v>
      </c>
      <c r="J57" s="501"/>
      <c r="K57" s="513"/>
      <c r="L57" s="505">
        <f t="shared" si="19"/>
        <v>0</v>
      </c>
      <c r="M57" s="513"/>
      <c r="N57" s="505">
        <f t="shared" si="20"/>
        <v>0</v>
      </c>
      <c r="O57" s="505">
        <f t="shared" si="21"/>
        <v>0</v>
      </c>
      <c r="P57" s="279"/>
      <c r="R57" s="244"/>
      <c r="S57" s="244"/>
      <c r="T57" s="244"/>
      <c r="U57" s="244"/>
    </row>
    <row r="58" spans="2:21" ht="12.5">
      <c r="B58" s="145" t="str">
        <f t="shared" si="16"/>
        <v/>
      </c>
      <c r="C58" s="496">
        <f>IF(D11="","-",+C57+1)</f>
        <v>2054</v>
      </c>
      <c r="D58" s="509">
        <f>IF(F57+SUM(E$17:E57)=D$10,F57,D$10-SUM(E$17:E57))</f>
        <v>0</v>
      </c>
      <c r="E58" s="510">
        <f>IF(+I14&lt;F57,I14,D58)</f>
        <v>0</v>
      </c>
      <c r="F58" s="511">
        <f t="shared" si="17"/>
        <v>0</v>
      </c>
      <c r="G58" s="512">
        <f t="shared" si="14"/>
        <v>0</v>
      </c>
      <c r="H58" s="478">
        <f t="shared" si="15"/>
        <v>0</v>
      </c>
      <c r="I58" s="501">
        <f t="shared" si="18"/>
        <v>0</v>
      </c>
      <c r="J58" s="501"/>
      <c r="K58" s="513"/>
      <c r="L58" s="505">
        <f t="shared" si="19"/>
        <v>0</v>
      </c>
      <c r="M58" s="513"/>
      <c r="N58" s="505">
        <f t="shared" si="20"/>
        <v>0</v>
      </c>
      <c r="O58" s="505">
        <f t="shared" si="21"/>
        <v>0</v>
      </c>
      <c r="P58" s="279"/>
      <c r="R58" s="244"/>
      <c r="S58" s="244"/>
      <c r="T58" s="244"/>
      <c r="U58" s="244"/>
    </row>
    <row r="59" spans="2:21" ht="12.5">
      <c r="B59" s="145" t="str">
        <f t="shared" si="16"/>
        <v/>
      </c>
      <c r="C59" s="496">
        <f>IF(D11="","-",+C58+1)</f>
        <v>2055</v>
      </c>
      <c r="D59" s="509">
        <f>IF(F58+SUM(E$17:E58)=D$10,F58,D$10-SUM(E$17:E58))</f>
        <v>0</v>
      </c>
      <c r="E59" s="510">
        <f>IF(+I14&lt;F58,I14,D59)</f>
        <v>0</v>
      </c>
      <c r="F59" s="511">
        <f t="shared" si="17"/>
        <v>0</v>
      </c>
      <c r="G59" s="512">
        <f t="shared" si="14"/>
        <v>0</v>
      </c>
      <c r="H59" s="478">
        <f t="shared" si="15"/>
        <v>0</v>
      </c>
      <c r="I59" s="501">
        <f t="shared" si="18"/>
        <v>0</v>
      </c>
      <c r="J59" s="501"/>
      <c r="K59" s="513"/>
      <c r="L59" s="505">
        <f t="shared" si="19"/>
        <v>0</v>
      </c>
      <c r="M59" s="513"/>
      <c r="N59" s="505">
        <f t="shared" si="20"/>
        <v>0</v>
      </c>
      <c r="O59" s="505">
        <f t="shared" si="21"/>
        <v>0</v>
      </c>
      <c r="P59" s="279"/>
      <c r="R59" s="244"/>
      <c r="S59" s="244"/>
      <c r="T59" s="244"/>
      <c r="U59" s="244"/>
    </row>
    <row r="60" spans="2:21" ht="12.5">
      <c r="B60" s="145" t="str">
        <f t="shared" si="16"/>
        <v/>
      </c>
      <c r="C60" s="496">
        <f>IF(D11="","-",+C59+1)</f>
        <v>2056</v>
      </c>
      <c r="D60" s="509">
        <f>IF(F59+SUM(E$17:E59)=D$10,F59,D$10-SUM(E$17:E59))</f>
        <v>0</v>
      </c>
      <c r="E60" s="510">
        <f>IF(+I14&lt;F59,I14,D60)</f>
        <v>0</v>
      </c>
      <c r="F60" s="511">
        <f t="shared" si="17"/>
        <v>0</v>
      </c>
      <c r="G60" s="512">
        <f t="shared" si="14"/>
        <v>0</v>
      </c>
      <c r="H60" s="478">
        <f t="shared" si="15"/>
        <v>0</v>
      </c>
      <c r="I60" s="501">
        <f t="shared" si="18"/>
        <v>0</v>
      </c>
      <c r="J60" s="501"/>
      <c r="K60" s="513"/>
      <c r="L60" s="505">
        <f t="shared" si="19"/>
        <v>0</v>
      </c>
      <c r="M60" s="513"/>
      <c r="N60" s="505">
        <f t="shared" si="20"/>
        <v>0</v>
      </c>
      <c r="O60" s="505">
        <f t="shared" si="21"/>
        <v>0</v>
      </c>
      <c r="P60" s="279"/>
      <c r="R60" s="244"/>
      <c r="S60" s="244"/>
      <c r="T60" s="244"/>
      <c r="U60" s="244"/>
    </row>
    <row r="61" spans="2:21" ht="12.5">
      <c r="B61" s="145" t="str">
        <f t="shared" si="16"/>
        <v/>
      </c>
      <c r="C61" s="496">
        <f>IF(D11="","-",+C60+1)</f>
        <v>2057</v>
      </c>
      <c r="D61" s="509">
        <f>IF(F60+SUM(E$17:E60)=D$10,F60,D$10-SUM(E$17:E60))</f>
        <v>0</v>
      </c>
      <c r="E61" s="510">
        <f>IF(+I14&lt;F60,I14,D61)</f>
        <v>0</v>
      </c>
      <c r="F61" s="511">
        <f t="shared" si="17"/>
        <v>0</v>
      </c>
      <c r="G61" s="512">
        <f t="shared" si="14"/>
        <v>0</v>
      </c>
      <c r="H61" s="478">
        <f t="shared" si="15"/>
        <v>0</v>
      </c>
      <c r="I61" s="501">
        <f t="shared" si="18"/>
        <v>0</v>
      </c>
      <c r="J61" s="501"/>
      <c r="K61" s="513"/>
      <c r="L61" s="505">
        <f t="shared" si="19"/>
        <v>0</v>
      </c>
      <c r="M61" s="513"/>
      <c r="N61" s="505">
        <f t="shared" si="20"/>
        <v>0</v>
      </c>
      <c r="O61" s="505">
        <f t="shared" si="21"/>
        <v>0</v>
      </c>
      <c r="P61" s="279"/>
      <c r="R61" s="244"/>
      <c r="S61" s="244"/>
      <c r="T61" s="244"/>
      <c r="U61" s="244"/>
    </row>
    <row r="62" spans="2:21" ht="12.5">
      <c r="B62" s="145" t="str">
        <f t="shared" si="16"/>
        <v/>
      </c>
      <c r="C62" s="496">
        <f>IF(D11="","-",+C61+1)</f>
        <v>2058</v>
      </c>
      <c r="D62" s="509">
        <f>IF(F61+SUM(E$17:E61)=D$10,F61,D$10-SUM(E$17:E61))</f>
        <v>0</v>
      </c>
      <c r="E62" s="510">
        <f>IF(+I14&lt;F61,I14,D62)</f>
        <v>0</v>
      </c>
      <c r="F62" s="511">
        <f t="shared" si="17"/>
        <v>0</v>
      </c>
      <c r="G62" s="524">
        <f t="shared" si="14"/>
        <v>0</v>
      </c>
      <c r="H62" s="478">
        <f t="shared" si="15"/>
        <v>0</v>
      </c>
      <c r="I62" s="501">
        <f t="shared" si="18"/>
        <v>0</v>
      </c>
      <c r="J62" s="501"/>
      <c r="K62" s="513"/>
      <c r="L62" s="505">
        <f t="shared" si="19"/>
        <v>0</v>
      </c>
      <c r="M62" s="513"/>
      <c r="N62" s="505">
        <f t="shared" si="20"/>
        <v>0</v>
      </c>
      <c r="O62" s="505">
        <f t="shared" si="21"/>
        <v>0</v>
      </c>
      <c r="P62" s="279"/>
      <c r="R62" s="244"/>
      <c r="S62" s="244"/>
      <c r="T62" s="244"/>
      <c r="U62" s="244"/>
    </row>
    <row r="63" spans="2:21" ht="12.5">
      <c r="B63" s="145" t="str">
        <f t="shared" si="16"/>
        <v/>
      </c>
      <c r="C63" s="496">
        <f>IF(D11="","-",+C62+1)</f>
        <v>2059</v>
      </c>
      <c r="D63" s="509">
        <f>IF(F62+SUM(E$17:E62)=D$10,F62,D$10-SUM(E$17:E62))</f>
        <v>0</v>
      </c>
      <c r="E63" s="510">
        <f>IF(+I14&lt;F62,I14,D63)</f>
        <v>0</v>
      </c>
      <c r="F63" s="511">
        <f t="shared" si="17"/>
        <v>0</v>
      </c>
      <c r="G63" s="524">
        <f t="shared" si="14"/>
        <v>0</v>
      </c>
      <c r="H63" s="478">
        <f t="shared" si="15"/>
        <v>0</v>
      </c>
      <c r="I63" s="501">
        <f t="shared" si="18"/>
        <v>0</v>
      </c>
      <c r="J63" s="501"/>
      <c r="K63" s="513"/>
      <c r="L63" s="505">
        <f t="shared" si="19"/>
        <v>0</v>
      </c>
      <c r="M63" s="513"/>
      <c r="N63" s="505">
        <f t="shared" si="20"/>
        <v>0</v>
      </c>
      <c r="O63" s="505">
        <f t="shared" si="21"/>
        <v>0</v>
      </c>
      <c r="P63" s="279"/>
      <c r="R63" s="244"/>
      <c r="S63" s="244"/>
      <c r="T63" s="244"/>
      <c r="U63" s="244"/>
    </row>
    <row r="64" spans="2:21" ht="12.5">
      <c r="B64" s="145" t="str">
        <f t="shared" si="16"/>
        <v/>
      </c>
      <c r="C64" s="496">
        <f>IF(D11="","-",+C63+1)</f>
        <v>2060</v>
      </c>
      <c r="D64" s="509">
        <f>IF(F63+SUM(E$17:E63)=D$10,F63,D$10-SUM(E$17:E63))</f>
        <v>0</v>
      </c>
      <c r="E64" s="510">
        <f>IF(+I14&lt;F63,I14,D64)</f>
        <v>0</v>
      </c>
      <c r="F64" s="511">
        <f t="shared" si="17"/>
        <v>0</v>
      </c>
      <c r="G64" s="524">
        <f t="shared" si="14"/>
        <v>0</v>
      </c>
      <c r="H64" s="478">
        <f t="shared" si="15"/>
        <v>0</v>
      </c>
      <c r="I64" s="501">
        <f t="shared" si="18"/>
        <v>0</v>
      </c>
      <c r="J64" s="501"/>
      <c r="K64" s="513"/>
      <c r="L64" s="505">
        <f t="shared" si="19"/>
        <v>0</v>
      </c>
      <c r="M64" s="513"/>
      <c r="N64" s="505">
        <f t="shared" si="20"/>
        <v>0</v>
      </c>
      <c r="O64" s="505">
        <f t="shared" si="21"/>
        <v>0</v>
      </c>
      <c r="P64" s="279"/>
      <c r="R64" s="244"/>
      <c r="S64" s="244"/>
      <c r="T64" s="244"/>
      <c r="U64" s="244"/>
    </row>
    <row r="65" spans="2:21" ht="12.5">
      <c r="B65" s="145" t="str">
        <f t="shared" si="16"/>
        <v/>
      </c>
      <c r="C65" s="496">
        <f>IF(D11="","-",+C64+1)</f>
        <v>2061</v>
      </c>
      <c r="D65" s="509">
        <f>IF(F64+SUM(E$17:E64)=D$10,F64,D$10-SUM(E$17:E64))</f>
        <v>0</v>
      </c>
      <c r="E65" s="510">
        <f>IF(+I14&lt;F64,I14,D65)</f>
        <v>0</v>
      </c>
      <c r="F65" s="511">
        <f t="shared" si="17"/>
        <v>0</v>
      </c>
      <c r="G65" s="524">
        <f t="shared" si="14"/>
        <v>0</v>
      </c>
      <c r="H65" s="478">
        <f t="shared" si="15"/>
        <v>0</v>
      </c>
      <c r="I65" s="501">
        <f t="shared" si="18"/>
        <v>0</v>
      </c>
      <c r="J65" s="501"/>
      <c r="K65" s="513"/>
      <c r="L65" s="505">
        <f t="shared" si="19"/>
        <v>0</v>
      </c>
      <c r="M65" s="513"/>
      <c r="N65" s="505">
        <f t="shared" si="20"/>
        <v>0</v>
      </c>
      <c r="O65" s="505">
        <f t="shared" si="21"/>
        <v>0</v>
      </c>
      <c r="P65" s="279"/>
      <c r="R65" s="244"/>
      <c r="S65" s="244"/>
      <c r="T65" s="244"/>
      <c r="U65" s="244"/>
    </row>
    <row r="66" spans="2:21" ht="12.5">
      <c r="B66" s="145" t="str">
        <f t="shared" si="16"/>
        <v/>
      </c>
      <c r="C66" s="496">
        <f>IF(D11="","-",+C65+1)</f>
        <v>2062</v>
      </c>
      <c r="D66" s="509">
        <f>IF(F65+SUM(E$17:E65)=D$10,F65,D$10-SUM(E$17:E65))</f>
        <v>0</v>
      </c>
      <c r="E66" s="510">
        <f>IF(+I14&lt;F65,I14,D66)</f>
        <v>0</v>
      </c>
      <c r="F66" s="511">
        <f t="shared" si="17"/>
        <v>0</v>
      </c>
      <c r="G66" s="524">
        <f t="shared" si="14"/>
        <v>0</v>
      </c>
      <c r="H66" s="478">
        <f t="shared" si="15"/>
        <v>0</v>
      </c>
      <c r="I66" s="501">
        <f t="shared" si="18"/>
        <v>0</v>
      </c>
      <c r="J66" s="501"/>
      <c r="K66" s="513"/>
      <c r="L66" s="505">
        <f t="shared" si="19"/>
        <v>0</v>
      </c>
      <c r="M66" s="513"/>
      <c r="N66" s="505">
        <f t="shared" si="20"/>
        <v>0</v>
      </c>
      <c r="O66" s="505">
        <f t="shared" si="21"/>
        <v>0</v>
      </c>
      <c r="P66" s="279"/>
      <c r="R66" s="244"/>
      <c r="S66" s="244"/>
      <c r="T66" s="244"/>
      <c r="U66" s="244"/>
    </row>
    <row r="67" spans="2:21" ht="12.5">
      <c r="B67" s="145" t="str">
        <f t="shared" si="16"/>
        <v/>
      </c>
      <c r="C67" s="496">
        <f>IF(D11="","-",+C66+1)</f>
        <v>2063</v>
      </c>
      <c r="D67" s="509">
        <f>IF(F66+SUM(E$17:E66)=D$10,F66,D$10-SUM(E$17:E66))</f>
        <v>0</v>
      </c>
      <c r="E67" s="510">
        <f>IF(+I14&lt;F66,I14,D67)</f>
        <v>0</v>
      </c>
      <c r="F67" s="511">
        <f t="shared" si="17"/>
        <v>0</v>
      </c>
      <c r="G67" s="524">
        <f t="shared" si="14"/>
        <v>0</v>
      </c>
      <c r="H67" s="478">
        <f t="shared" si="15"/>
        <v>0</v>
      </c>
      <c r="I67" s="501">
        <f t="shared" si="18"/>
        <v>0</v>
      </c>
      <c r="J67" s="501"/>
      <c r="K67" s="513"/>
      <c r="L67" s="505">
        <f t="shared" si="19"/>
        <v>0</v>
      </c>
      <c r="M67" s="513"/>
      <c r="N67" s="505">
        <f t="shared" si="20"/>
        <v>0</v>
      </c>
      <c r="O67" s="505">
        <f t="shared" si="21"/>
        <v>0</v>
      </c>
      <c r="P67" s="279"/>
      <c r="R67" s="244"/>
      <c r="S67" s="244"/>
      <c r="T67" s="244"/>
      <c r="U67" s="244"/>
    </row>
    <row r="68" spans="2:21" ht="12.5">
      <c r="B68" s="145" t="str">
        <f t="shared" si="16"/>
        <v/>
      </c>
      <c r="C68" s="496">
        <f>IF(D11="","-",+C67+1)</f>
        <v>2064</v>
      </c>
      <c r="D68" s="509">
        <f>IF(F67+SUM(E$17:E67)=D$10,F67,D$10-SUM(E$17:E67))</f>
        <v>0</v>
      </c>
      <c r="E68" s="510">
        <f>IF(+I14&lt;F67,I14,D68)</f>
        <v>0</v>
      </c>
      <c r="F68" s="511">
        <f t="shared" si="17"/>
        <v>0</v>
      </c>
      <c r="G68" s="524">
        <f t="shared" si="14"/>
        <v>0</v>
      </c>
      <c r="H68" s="478">
        <f t="shared" si="15"/>
        <v>0</v>
      </c>
      <c r="I68" s="501">
        <f t="shared" si="18"/>
        <v>0</v>
      </c>
      <c r="J68" s="501"/>
      <c r="K68" s="513"/>
      <c r="L68" s="505">
        <f t="shared" si="19"/>
        <v>0</v>
      </c>
      <c r="M68" s="513"/>
      <c r="N68" s="505">
        <f t="shared" si="20"/>
        <v>0</v>
      </c>
      <c r="O68" s="505">
        <f t="shared" si="21"/>
        <v>0</v>
      </c>
      <c r="P68" s="279"/>
      <c r="R68" s="244"/>
      <c r="S68" s="244"/>
      <c r="T68" s="244"/>
      <c r="U68" s="244"/>
    </row>
    <row r="69" spans="2:21" ht="12.5">
      <c r="B69" s="145" t="str">
        <f t="shared" si="16"/>
        <v/>
      </c>
      <c r="C69" s="496">
        <f>IF(D11="","-",+C68+1)</f>
        <v>2065</v>
      </c>
      <c r="D69" s="509">
        <f>IF(F68+SUM(E$17:E68)=D$10,F68,D$10-SUM(E$17:E68))</f>
        <v>0</v>
      </c>
      <c r="E69" s="510">
        <f>IF(+I14&lt;F68,I14,D69)</f>
        <v>0</v>
      </c>
      <c r="F69" s="511">
        <f t="shared" si="17"/>
        <v>0</v>
      </c>
      <c r="G69" s="524">
        <f t="shared" si="14"/>
        <v>0</v>
      </c>
      <c r="H69" s="478">
        <f t="shared" si="15"/>
        <v>0</v>
      </c>
      <c r="I69" s="501">
        <f t="shared" si="18"/>
        <v>0</v>
      </c>
      <c r="J69" s="501"/>
      <c r="K69" s="513"/>
      <c r="L69" s="505">
        <f t="shared" si="19"/>
        <v>0</v>
      </c>
      <c r="M69" s="513"/>
      <c r="N69" s="505">
        <f t="shared" si="20"/>
        <v>0</v>
      </c>
      <c r="O69" s="505">
        <f t="shared" si="21"/>
        <v>0</v>
      </c>
      <c r="P69" s="279"/>
      <c r="R69" s="244"/>
      <c r="S69" s="244"/>
      <c r="T69" s="244"/>
      <c r="U69" s="244"/>
    </row>
    <row r="70" spans="2:21" ht="12.5">
      <c r="B70" s="145" t="str">
        <f t="shared" si="16"/>
        <v/>
      </c>
      <c r="C70" s="496">
        <f>IF(D11="","-",+C69+1)</f>
        <v>2066</v>
      </c>
      <c r="D70" s="509">
        <f>IF(F69+SUM(E$17:E69)=D$10,F69,D$10-SUM(E$17:E69))</f>
        <v>0</v>
      </c>
      <c r="E70" s="510">
        <f>IF(+I14&lt;F69,I14,D70)</f>
        <v>0</v>
      </c>
      <c r="F70" s="511">
        <f t="shared" si="17"/>
        <v>0</v>
      </c>
      <c r="G70" s="524">
        <f t="shared" si="14"/>
        <v>0</v>
      </c>
      <c r="H70" s="478">
        <f t="shared" si="15"/>
        <v>0</v>
      </c>
      <c r="I70" s="501">
        <f t="shared" si="18"/>
        <v>0</v>
      </c>
      <c r="J70" s="501"/>
      <c r="K70" s="513"/>
      <c r="L70" s="505">
        <f t="shared" si="19"/>
        <v>0</v>
      </c>
      <c r="M70" s="513"/>
      <c r="N70" s="505">
        <f t="shared" si="20"/>
        <v>0</v>
      </c>
      <c r="O70" s="505">
        <f t="shared" si="21"/>
        <v>0</v>
      </c>
      <c r="P70" s="279"/>
      <c r="R70" s="244"/>
      <c r="S70" s="244"/>
      <c r="T70" s="244"/>
      <c r="U70" s="244"/>
    </row>
    <row r="71" spans="2:21" ht="12.5">
      <c r="B71" s="145" t="str">
        <f t="shared" si="16"/>
        <v/>
      </c>
      <c r="C71" s="496">
        <f>IF(D11="","-",+C70+1)</f>
        <v>2067</v>
      </c>
      <c r="D71" s="509">
        <f>IF(F70+SUM(E$17:E70)=D$10,F70,D$10-SUM(E$17:E70))</f>
        <v>0</v>
      </c>
      <c r="E71" s="510">
        <f>IF(+I14&lt;F70,I14,D71)</f>
        <v>0</v>
      </c>
      <c r="F71" s="511">
        <f t="shared" si="17"/>
        <v>0</v>
      </c>
      <c r="G71" s="524">
        <f t="shared" si="14"/>
        <v>0</v>
      </c>
      <c r="H71" s="478">
        <f t="shared" si="15"/>
        <v>0</v>
      </c>
      <c r="I71" s="501">
        <f t="shared" si="18"/>
        <v>0</v>
      </c>
      <c r="J71" s="501"/>
      <c r="K71" s="513"/>
      <c r="L71" s="505">
        <f t="shared" si="19"/>
        <v>0</v>
      </c>
      <c r="M71" s="513"/>
      <c r="N71" s="505">
        <f t="shared" si="20"/>
        <v>0</v>
      </c>
      <c r="O71" s="505">
        <f t="shared" si="21"/>
        <v>0</v>
      </c>
      <c r="P71" s="279"/>
      <c r="R71" s="244"/>
      <c r="S71" s="244"/>
      <c r="T71" s="244"/>
      <c r="U71" s="244"/>
    </row>
    <row r="72" spans="2:21" ht="12.5">
      <c r="B72" s="145" t="str">
        <f t="shared" si="16"/>
        <v/>
      </c>
      <c r="C72" s="496">
        <f>IF(D11="","-",+C71+1)</f>
        <v>2068</v>
      </c>
      <c r="D72" s="509">
        <f>IF(F71+SUM(E$17:E71)=D$10,F71,D$10-SUM(E$17:E71))</f>
        <v>0</v>
      </c>
      <c r="E72" s="510">
        <f>IF(+I14&lt;F71,I14,D72)</f>
        <v>0</v>
      </c>
      <c r="F72" s="511">
        <f t="shared" si="17"/>
        <v>0</v>
      </c>
      <c r="G72" s="524">
        <f t="shared" si="14"/>
        <v>0</v>
      </c>
      <c r="H72" s="478">
        <f t="shared" si="15"/>
        <v>0</v>
      </c>
      <c r="I72" s="501">
        <f t="shared" si="18"/>
        <v>0</v>
      </c>
      <c r="J72" s="501"/>
      <c r="K72" s="513"/>
      <c r="L72" s="505">
        <f t="shared" si="19"/>
        <v>0</v>
      </c>
      <c r="M72" s="513"/>
      <c r="N72" s="505">
        <f t="shared" si="20"/>
        <v>0</v>
      </c>
      <c r="O72" s="505">
        <f t="shared" si="21"/>
        <v>0</v>
      </c>
      <c r="P72" s="279"/>
      <c r="R72" s="244"/>
      <c r="S72" s="244"/>
      <c r="T72" s="244"/>
      <c r="U72" s="244"/>
    </row>
    <row r="73" spans="2:21" ht="13" thickBot="1">
      <c r="B73" s="145" t="str">
        <f t="shared" si="16"/>
        <v/>
      </c>
      <c r="C73" s="525">
        <f>IF(D11="","-",+C72+1)</f>
        <v>2069</v>
      </c>
      <c r="D73" s="526">
        <f>IF(F72+SUM(E$17:E72)=D$10,F72,D$10-SUM(E$17:E72))</f>
        <v>0</v>
      </c>
      <c r="E73" s="527">
        <f>IF(+I14&lt;F72,I14,D73)</f>
        <v>0</v>
      </c>
      <c r="F73" s="528">
        <f t="shared" si="17"/>
        <v>0</v>
      </c>
      <c r="G73" s="529">
        <f t="shared" si="14"/>
        <v>0</v>
      </c>
      <c r="H73" s="459">
        <f t="shared" si="15"/>
        <v>0</v>
      </c>
      <c r="I73" s="530">
        <f t="shared" si="18"/>
        <v>0</v>
      </c>
      <c r="J73" s="501"/>
      <c r="K73" s="531"/>
      <c r="L73" s="532">
        <f t="shared" si="19"/>
        <v>0</v>
      </c>
      <c r="M73" s="531"/>
      <c r="N73" s="532">
        <f t="shared" si="20"/>
        <v>0</v>
      </c>
      <c r="O73" s="532">
        <f t="shared" si="21"/>
        <v>0</v>
      </c>
      <c r="P73" s="279"/>
      <c r="R73" s="244"/>
      <c r="S73" s="244"/>
      <c r="T73" s="244"/>
      <c r="U73" s="244"/>
    </row>
    <row r="74" spans="2:21" ht="12.5">
      <c r="C74" s="350" t="s">
        <v>75</v>
      </c>
      <c r="D74" s="295"/>
      <c r="E74" s="295">
        <f>SUM(E17:E73)</f>
        <v>28914235.740000006</v>
      </c>
      <c r="F74" s="295"/>
      <c r="G74" s="295">
        <f>SUM(G17:G73)</f>
        <v>87630860.776309326</v>
      </c>
      <c r="H74" s="295">
        <f>SUM(H17:H73)</f>
        <v>87630860.776309326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6 of 20</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2020</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3454824.1726137344</v>
      </c>
      <c r="N88" s="545">
        <f>IF(J93&lt;D11,0,VLOOKUP(J93,C17:O73,11))</f>
        <v>3454824.1726137344</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3620514.584021511</v>
      </c>
      <c r="N89" s="549">
        <f>IF(J93&lt;D11,0,VLOOKUP(J93,C100:P155,7))</f>
        <v>3620514.584021511</v>
      </c>
      <c r="O89" s="550">
        <f>+N89-M89</f>
        <v>0</v>
      </c>
      <c r="P89" s="244"/>
      <c r="Q89" s="244"/>
      <c r="R89" s="244"/>
      <c r="S89" s="244"/>
      <c r="T89" s="244"/>
      <c r="U89" s="244"/>
    </row>
    <row r="90" spans="1:21" ht="13.5" thickBot="1">
      <c r="C90" s="455" t="s">
        <v>82</v>
      </c>
      <c r="D90" s="551" t="str">
        <f>+D7</f>
        <v xml:space="preserve">Canadian River - McAlester City 138 kV Line Conversion </v>
      </c>
      <c r="E90" s="244"/>
      <c r="F90" s="244"/>
      <c r="G90" s="244"/>
      <c r="H90" s="244"/>
      <c r="I90" s="326"/>
      <c r="J90" s="326"/>
      <c r="K90" s="552"/>
      <c r="L90" s="553" t="s">
        <v>135</v>
      </c>
      <c r="M90" s="554">
        <f>+M89-M88</f>
        <v>165690.41140777664</v>
      </c>
      <c r="N90" s="554">
        <f>+N89-N88</f>
        <v>165690.41140777664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TP2009095</v>
      </c>
      <c r="E92" s="559"/>
      <c r="F92" s="559"/>
      <c r="G92" s="559"/>
      <c r="H92" s="559"/>
      <c r="I92" s="559"/>
      <c r="J92" s="559"/>
      <c r="K92" s="561"/>
      <c r="P92" s="469"/>
      <c r="Q92" s="244"/>
      <c r="R92" s="244"/>
      <c r="S92" s="244"/>
      <c r="T92" s="244"/>
      <c r="U92" s="244"/>
    </row>
    <row r="93" spans="1:21" ht="13">
      <c r="C93" s="473" t="s">
        <v>49</v>
      </c>
      <c r="D93" s="599">
        <f>D10</f>
        <v>28914235.739999998</v>
      </c>
      <c r="E93" s="249" t="s">
        <v>84</v>
      </c>
      <c r="H93" s="409"/>
      <c r="I93" s="409"/>
      <c r="J93" s="472">
        <f>+'OKT.WS.G.BPU.ATRR.True-up'!M16</f>
        <v>2020</v>
      </c>
      <c r="K93" s="468"/>
      <c r="L93" s="295" t="s">
        <v>85</v>
      </c>
      <c r="P93" s="279"/>
      <c r="Q93" s="244"/>
      <c r="R93" s="244"/>
      <c r="S93" s="244"/>
      <c r="T93" s="244"/>
      <c r="U93" s="244"/>
    </row>
    <row r="94" spans="1:21" ht="12.5">
      <c r="C94" s="473" t="s">
        <v>52</v>
      </c>
      <c r="D94" s="562">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v>8</v>
      </c>
      <c r="E95" s="473" t="s">
        <v>55</v>
      </c>
      <c r="F95" s="409"/>
      <c r="G95" s="409"/>
      <c r="J95" s="477">
        <f>'OKT.WS.G.BPU.ATRR.True-up'!$F$81</f>
        <v>0.10641349897030054</v>
      </c>
      <c r="K95" s="414"/>
      <c r="L95" s="145" t="s">
        <v>86</v>
      </c>
      <c r="P95" s="279"/>
      <c r="Q95" s="244"/>
      <c r="R95" s="244"/>
      <c r="S95" s="244"/>
      <c r="T95" s="244"/>
      <c r="U95" s="244"/>
    </row>
    <row r="96" spans="1:21" ht="12.5">
      <c r="C96" s="473" t="s">
        <v>57</v>
      </c>
      <c r="D96" s="475">
        <f>'OKT.WS.G.BPU.ATRR.True-up'!F$93</f>
        <v>28</v>
      </c>
      <c r="E96" s="473" t="s">
        <v>58</v>
      </c>
      <c r="F96" s="409"/>
      <c r="G96" s="409"/>
      <c r="J96" s="477">
        <f>IF(H88="",J95,'OKT.WS.G.BPU.ATRR.True-up'!$F$80)</f>
        <v>0.10641349897030054</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1032651.2764285713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22">IF(D100=F99,"","IU")</f>
        <v>IU</v>
      </c>
      <c r="C100" s="496">
        <f>IF(D94= "","-",D94)</f>
        <v>2013</v>
      </c>
      <c r="D100" s="497">
        <v>0</v>
      </c>
      <c r="E100" s="499">
        <v>85919.706896551725</v>
      </c>
      <c r="F100" s="506">
        <v>9880766.293103449</v>
      </c>
      <c r="G100" s="572">
        <v>4940383.1465517245</v>
      </c>
      <c r="H100" s="572">
        <v>586624.79406989401</v>
      </c>
      <c r="I100" s="572">
        <v>586624.79406989401</v>
      </c>
      <c r="J100" s="505">
        <v>0</v>
      </c>
      <c r="K100" s="505"/>
      <c r="L100" s="502">
        <f t="shared" ref="L100:L105" si="23">H100</f>
        <v>586624.79406989401</v>
      </c>
      <c r="M100" s="504">
        <f t="shared" ref="M100:M105" si="24">IF(L100&lt;&gt;0,+H100-L100,0)</f>
        <v>0</v>
      </c>
      <c r="N100" s="502">
        <f t="shared" ref="N100:N105" si="25">I100</f>
        <v>586624.79406989401</v>
      </c>
      <c r="O100" s="504">
        <f>IF(N100&lt;&gt;0,+I100-N100,0)</f>
        <v>0</v>
      </c>
      <c r="P100" s="504">
        <f>+O100-M100</f>
        <v>0</v>
      </c>
      <c r="Q100" s="244"/>
      <c r="R100" s="244"/>
      <c r="S100" s="244"/>
      <c r="T100" s="244"/>
      <c r="U100" s="244"/>
    </row>
    <row r="101" spans="1:21" ht="12.5">
      <c r="B101" s="145" t="str">
        <f t="shared" si="22"/>
        <v>IU</v>
      </c>
      <c r="C101" s="496">
        <f>IF(D94="","-",+C100+1)</f>
        <v>2014</v>
      </c>
      <c r="D101" s="497">
        <v>28596480.293103449</v>
      </c>
      <c r="E101" s="499">
        <v>494524.13793103449</v>
      </c>
      <c r="F101" s="506">
        <v>28101956.155172415</v>
      </c>
      <c r="G101" s="506">
        <v>28349218.224137932</v>
      </c>
      <c r="H101" s="499">
        <v>3716695.0108773164</v>
      </c>
      <c r="I101" s="500">
        <v>3716695.0108773164</v>
      </c>
      <c r="J101" s="505">
        <v>0</v>
      </c>
      <c r="K101" s="505"/>
      <c r="L101" s="507">
        <f t="shared" si="23"/>
        <v>3716695.0108773164</v>
      </c>
      <c r="M101" s="505">
        <f t="shared" si="24"/>
        <v>0</v>
      </c>
      <c r="N101" s="507">
        <f t="shared" si="25"/>
        <v>3716695.0108773164</v>
      </c>
      <c r="O101" s="505">
        <f>IF(N101&lt;&gt;0,+I101-N101,0)</f>
        <v>0</v>
      </c>
      <c r="P101" s="505">
        <f>+O101-M101</f>
        <v>0</v>
      </c>
      <c r="Q101" s="244"/>
      <c r="R101" s="244"/>
      <c r="S101" s="244"/>
      <c r="T101" s="244"/>
      <c r="U101" s="244"/>
    </row>
    <row r="102" spans="1:21" ht="12.5">
      <c r="B102" s="145" t="str">
        <f t="shared" si="22"/>
        <v>IU</v>
      </c>
      <c r="C102" s="496">
        <f>IF(D94="","-",+C101+1)</f>
        <v>2015</v>
      </c>
      <c r="D102" s="497">
        <v>28333791.895172413</v>
      </c>
      <c r="E102" s="499">
        <v>602379.91125</v>
      </c>
      <c r="F102" s="506">
        <v>27731411.983922414</v>
      </c>
      <c r="G102" s="506">
        <v>28032601.939547412</v>
      </c>
      <c r="H102" s="499">
        <v>3723233.4671503431</v>
      </c>
      <c r="I102" s="500">
        <v>3723233.4671503431</v>
      </c>
      <c r="J102" s="505">
        <v>0</v>
      </c>
      <c r="K102" s="505"/>
      <c r="L102" s="507">
        <f t="shared" si="23"/>
        <v>3723233.4671503431</v>
      </c>
      <c r="M102" s="505">
        <f t="shared" si="24"/>
        <v>0</v>
      </c>
      <c r="N102" s="507">
        <f t="shared" si="25"/>
        <v>3723233.4671503431</v>
      </c>
      <c r="O102" s="505">
        <f t="shared" ref="O102:O131" si="26">IF(N102&lt;&gt;0,+I102-N102,0)</f>
        <v>0</v>
      </c>
      <c r="P102" s="505">
        <f t="shared" ref="P102:P131" si="27">+O102-M102</f>
        <v>0</v>
      </c>
      <c r="Q102" s="244"/>
      <c r="R102" s="244"/>
      <c r="S102" s="244"/>
      <c r="T102" s="244"/>
      <c r="U102" s="244"/>
    </row>
    <row r="103" spans="1:21" ht="12.5">
      <c r="B103" s="145" t="str">
        <f t="shared" si="22"/>
        <v/>
      </c>
      <c r="C103" s="496">
        <f>IF(D94="","-",+C102+1)</f>
        <v>2016</v>
      </c>
      <c r="D103" s="497">
        <v>27731411.983922414</v>
      </c>
      <c r="E103" s="499">
        <v>566945.79882352939</v>
      </c>
      <c r="F103" s="506">
        <v>27164466.185098886</v>
      </c>
      <c r="G103" s="506">
        <v>27447939.08451065</v>
      </c>
      <c r="H103" s="499">
        <v>3541464.1194634419</v>
      </c>
      <c r="I103" s="500">
        <v>3541464.1194634419</v>
      </c>
      <c r="J103" s="505">
        <f t="shared" ref="J103:J131" si="28">+I103-H103</f>
        <v>0</v>
      </c>
      <c r="K103" s="505"/>
      <c r="L103" s="507">
        <f t="shared" si="23"/>
        <v>3541464.1194634419</v>
      </c>
      <c r="M103" s="505">
        <f t="shared" si="24"/>
        <v>0</v>
      </c>
      <c r="N103" s="507">
        <f t="shared" si="25"/>
        <v>3541464.1194634419</v>
      </c>
      <c r="O103" s="505">
        <f>IF(N103&lt;&gt;0,+I103-N103,0)</f>
        <v>0</v>
      </c>
      <c r="P103" s="505">
        <f>+O103-M103</f>
        <v>0</v>
      </c>
      <c r="Q103" s="244"/>
      <c r="R103" s="244"/>
      <c r="S103" s="244"/>
      <c r="T103" s="244"/>
      <c r="U103" s="244"/>
    </row>
    <row r="104" spans="1:21" ht="12.5">
      <c r="B104" s="145" t="str">
        <f t="shared" si="22"/>
        <v/>
      </c>
      <c r="C104" s="496">
        <f>IF(D94="","-",+C103+1)</f>
        <v>2017</v>
      </c>
      <c r="D104" s="497">
        <v>27164466.185098886</v>
      </c>
      <c r="E104" s="499">
        <v>722855.89350000001</v>
      </c>
      <c r="F104" s="506">
        <v>26441610.291598886</v>
      </c>
      <c r="G104" s="506">
        <v>26803038.238348886</v>
      </c>
      <c r="H104" s="499">
        <v>3867813.548691513</v>
      </c>
      <c r="I104" s="500">
        <v>3867813.548691513</v>
      </c>
      <c r="J104" s="505">
        <f t="shared" si="28"/>
        <v>0</v>
      </c>
      <c r="K104" s="505"/>
      <c r="L104" s="507">
        <f t="shared" si="23"/>
        <v>3867813.548691513</v>
      </c>
      <c r="M104" s="505">
        <f t="shared" si="24"/>
        <v>0</v>
      </c>
      <c r="N104" s="507">
        <f t="shared" si="25"/>
        <v>3867813.548691513</v>
      </c>
      <c r="O104" s="505">
        <f>IF(N104&lt;&gt;0,+I104-N104,0)</f>
        <v>0</v>
      </c>
      <c r="P104" s="505">
        <f>+O104-M104</f>
        <v>0</v>
      </c>
      <c r="Q104" s="244"/>
      <c r="R104" s="244"/>
      <c r="S104" s="244"/>
      <c r="T104" s="244"/>
      <c r="U104" s="244"/>
    </row>
    <row r="105" spans="1:21" ht="12.5">
      <c r="B105" s="145" t="str">
        <f t="shared" si="22"/>
        <v/>
      </c>
      <c r="C105" s="496">
        <f>IF(D94="","-",+C104+1)</f>
        <v>2018</v>
      </c>
      <c r="D105" s="497">
        <v>26441610.291598886</v>
      </c>
      <c r="E105" s="499">
        <v>803173.21499999997</v>
      </c>
      <c r="F105" s="506">
        <v>25638437.076598886</v>
      </c>
      <c r="G105" s="506">
        <v>26040023.684098884</v>
      </c>
      <c r="H105" s="499">
        <v>3552021.8896915987</v>
      </c>
      <c r="I105" s="500">
        <v>3552021.8896915987</v>
      </c>
      <c r="J105" s="505">
        <f t="shared" si="28"/>
        <v>0</v>
      </c>
      <c r="K105" s="505"/>
      <c r="L105" s="507">
        <f t="shared" si="23"/>
        <v>3552021.8896915987</v>
      </c>
      <c r="M105" s="505">
        <f t="shared" si="24"/>
        <v>0</v>
      </c>
      <c r="N105" s="507">
        <f t="shared" si="25"/>
        <v>3552021.8896915987</v>
      </c>
      <c r="O105" s="505">
        <f>IF(N105&lt;&gt;0,+I105-N105,0)</f>
        <v>0</v>
      </c>
      <c r="P105" s="505">
        <f>+O105-M105</f>
        <v>0</v>
      </c>
      <c r="Q105" s="244"/>
      <c r="R105" s="244"/>
      <c r="S105" s="244"/>
      <c r="T105" s="244"/>
      <c r="U105" s="244"/>
    </row>
    <row r="106" spans="1:21" ht="12.5">
      <c r="B106" s="145" t="str">
        <f t="shared" si="22"/>
        <v/>
      </c>
      <c r="C106" s="496">
        <f>IF(D94="","-",+C105+1)</f>
        <v>2019</v>
      </c>
      <c r="D106" s="497">
        <v>25638437.076598886</v>
      </c>
      <c r="E106" s="499">
        <v>803173.21499999997</v>
      </c>
      <c r="F106" s="506">
        <v>24835263.861598887</v>
      </c>
      <c r="G106" s="506">
        <v>25236850.469098888</v>
      </c>
      <c r="H106" s="499">
        <v>3467236.9580654148</v>
      </c>
      <c r="I106" s="500">
        <v>3467236.9580654148</v>
      </c>
      <c r="J106" s="505">
        <f t="shared" si="28"/>
        <v>0</v>
      </c>
      <c r="K106" s="505"/>
      <c r="L106" s="507">
        <f t="shared" ref="L106" si="29">H106</f>
        <v>3467236.9580654148</v>
      </c>
      <c r="M106" s="505">
        <f t="shared" ref="M106" si="30">IF(L106&lt;&gt;0,+H106-L106,0)</f>
        <v>0</v>
      </c>
      <c r="N106" s="507">
        <f t="shared" ref="N106" si="31">I106</f>
        <v>3467236.9580654148</v>
      </c>
      <c r="O106" s="505">
        <f t="shared" si="26"/>
        <v>0</v>
      </c>
      <c r="P106" s="505">
        <f t="shared" si="27"/>
        <v>0</v>
      </c>
      <c r="Q106" s="244"/>
      <c r="R106" s="244"/>
      <c r="S106" s="244"/>
      <c r="T106" s="244"/>
      <c r="U106" s="244"/>
    </row>
    <row r="107" spans="1:21" ht="12.5">
      <c r="B107" s="145" t="str">
        <f t="shared" si="22"/>
        <v/>
      </c>
      <c r="C107" s="496">
        <f>IF(D94="","-",+C106+1)</f>
        <v>2020</v>
      </c>
      <c r="D107" s="350">
        <f>IF(F106+SUM(E$100:E106)=D$93,F106,D$93-SUM(E$100:E106))</f>
        <v>24835263.861598887</v>
      </c>
      <c r="E107" s="510">
        <f>IF(+J97&lt;F106,J97,D107)</f>
        <v>1032651.2764285713</v>
      </c>
      <c r="F107" s="511">
        <f t="shared" ref="F107:F132" si="32">+D107-E107</f>
        <v>23802612.585170314</v>
      </c>
      <c r="G107" s="511">
        <f t="shared" ref="G107:G131" si="33">+(F107+D107)/2</f>
        <v>24318938.2233846</v>
      </c>
      <c r="H107" s="646">
        <f>(D107+F107)/2*J$95+E107</f>
        <v>3620514.584021511</v>
      </c>
      <c r="I107" s="573">
        <f t="shared" ref="I107:I131" si="34">+J$96*G107+E107</f>
        <v>3620514.584021511</v>
      </c>
      <c r="J107" s="505">
        <f t="shared" si="28"/>
        <v>0</v>
      </c>
      <c r="K107" s="505"/>
      <c r="L107" s="513"/>
      <c r="M107" s="505">
        <f t="shared" ref="M107:M131" si="35">IF(L107&lt;&gt;0,+H107-L107,0)</f>
        <v>0</v>
      </c>
      <c r="N107" s="513"/>
      <c r="O107" s="505">
        <f t="shared" si="26"/>
        <v>0</v>
      </c>
      <c r="P107" s="505">
        <f t="shared" si="27"/>
        <v>0</v>
      </c>
      <c r="Q107" s="244"/>
      <c r="R107" s="244"/>
      <c r="S107" s="244"/>
      <c r="T107" s="244"/>
      <c r="U107" s="244"/>
    </row>
    <row r="108" spans="1:21" ht="12.5">
      <c r="B108" s="145" t="str">
        <f t="shared" si="22"/>
        <v/>
      </c>
      <c r="C108" s="496">
        <f>IF(D94="","-",+C107+1)</f>
        <v>2021</v>
      </c>
      <c r="D108" s="350">
        <f>IF(F107+SUM(E$100:E107)=D$93,F107,D$93-SUM(E$100:E107))</f>
        <v>23802612.585170314</v>
      </c>
      <c r="E108" s="510">
        <f>IF(+J97&lt;F107,J97,D108)</f>
        <v>1032651.2764285713</v>
      </c>
      <c r="F108" s="511">
        <f t="shared" si="32"/>
        <v>22769961.308741741</v>
      </c>
      <c r="G108" s="511">
        <f t="shared" si="33"/>
        <v>23286286.946956027</v>
      </c>
      <c r="H108" s="646">
        <f t="shared" ref="H108:H155" si="36">(D108+F108)/2*J$95+E108</f>
        <v>3510626.5484805997</v>
      </c>
      <c r="I108" s="573">
        <f t="shared" si="34"/>
        <v>3510626.5484805997</v>
      </c>
      <c r="J108" s="505">
        <f t="shared" si="28"/>
        <v>0</v>
      </c>
      <c r="K108" s="505"/>
      <c r="L108" s="513"/>
      <c r="M108" s="505">
        <f t="shared" si="35"/>
        <v>0</v>
      </c>
      <c r="N108" s="513"/>
      <c r="O108" s="505">
        <f t="shared" si="26"/>
        <v>0</v>
      </c>
      <c r="P108" s="505">
        <f t="shared" si="27"/>
        <v>0</v>
      </c>
      <c r="Q108" s="244"/>
      <c r="R108" s="244"/>
      <c r="S108" s="244"/>
      <c r="T108" s="244"/>
      <c r="U108" s="244"/>
    </row>
    <row r="109" spans="1:21" ht="12.5">
      <c r="B109" s="145" t="str">
        <f t="shared" si="22"/>
        <v/>
      </c>
      <c r="C109" s="496">
        <f>IF(D94="","-",+C108+1)</f>
        <v>2022</v>
      </c>
      <c r="D109" s="350">
        <f>IF(F108+SUM(E$100:E108)=D$93,F108,D$93-SUM(E$100:E108))</f>
        <v>22769961.308741741</v>
      </c>
      <c r="E109" s="510">
        <f>IF(+J97&lt;F108,J97,D109)</f>
        <v>1032651.2764285713</v>
      </c>
      <c r="F109" s="511">
        <f t="shared" si="32"/>
        <v>21737310.032313168</v>
      </c>
      <c r="G109" s="511">
        <f t="shared" si="33"/>
        <v>22253635.670527454</v>
      </c>
      <c r="H109" s="646">
        <f t="shared" si="36"/>
        <v>3400738.5129396883</v>
      </c>
      <c r="I109" s="573">
        <f t="shared" si="34"/>
        <v>3400738.5129396883</v>
      </c>
      <c r="J109" s="505">
        <f t="shared" si="28"/>
        <v>0</v>
      </c>
      <c r="K109" s="505"/>
      <c r="L109" s="513"/>
      <c r="M109" s="505">
        <f t="shared" si="35"/>
        <v>0</v>
      </c>
      <c r="N109" s="513"/>
      <c r="O109" s="505">
        <f t="shared" si="26"/>
        <v>0</v>
      </c>
      <c r="P109" s="505">
        <f t="shared" si="27"/>
        <v>0</v>
      </c>
      <c r="Q109" s="244"/>
      <c r="R109" s="244"/>
      <c r="S109" s="244"/>
      <c r="T109" s="244"/>
      <c r="U109" s="244"/>
    </row>
    <row r="110" spans="1:21" ht="12.5">
      <c r="B110" s="145" t="str">
        <f t="shared" si="22"/>
        <v/>
      </c>
      <c r="C110" s="496">
        <f>IF(D94="","-",+C109+1)</f>
        <v>2023</v>
      </c>
      <c r="D110" s="350">
        <f>IF(F109+SUM(E$100:E109)=D$93,F109,D$93-SUM(E$100:E109))</f>
        <v>21737310.032313168</v>
      </c>
      <c r="E110" s="510">
        <f>IF(+J97&lt;F109,J97,D110)</f>
        <v>1032651.2764285713</v>
      </c>
      <c r="F110" s="511">
        <f t="shared" si="32"/>
        <v>20704658.755884595</v>
      </c>
      <c r="G110" s="511">
        <f t="shared" si="33"/>
        <v>21220984.394098882</v>
      </c>
      <c r="H110" s="646">
        <f t="shared" si="36"/>
        <v>3290850.4773987764</v>
      </c>
      <c r="I110" s="573">
        <f t="shared" si="34"/>
        <v>3290850.4773987764</v>
      </c>
      <c r="J110" s="505">
        <f t="shared" si="28"/>
        <v>0</v>
      </c>
      <c r="K110" s="505"/>
      <c r="L110" s="513"/>
      <c r="M110" s="505">
        <f t="shared" si="35"/>
        <v>0</v>
      </c>
      <c r="N110" s="513"/>
      <c r="O110" s="505">
        <f t="shared" si="26"/>
        <v>0</v>
      </c>
      <c r="P110" s="505">
        <f t="shared" si="27"/>
        <v>0</v>
      </c>
      <c r="Q110" s="244"/>
      <c r="R110" s="244"/>
      <c r="S110" s="244"/>
      <c r="T110" s="244"/>
      <c r="U110" s="244"/>
    </row>
    <row r="111" spans="1:21" ht="12.5">
      <c r="B111" s="145" t="str">
        <f t="shared" si="22"/>
        <v/>
      </c>
      <c r="C111" s="496">
        <f>IF(D94="","-",+C110+1)</f>
        <v>2024</v>
      </c>
      <c r="D111" s="350">
        <f>IF(F110+SUM(E$100:E110)=D$93,F110,D$93-SUM(E$100:E110))</f>
        <v>20704658.755884595</v>
      </c>
      <c r="E111" s="510">
        <f>IF(+J97&lt;F110,J97,D111)</f>
        <v>1032651.2764285713</v>
      </c>
      <c r="F111" s="511">
        <f t="shared" si="32"/>
        <v>19672007.479456022</v>
      </c>
      <c r="G111" s="511">
        <f t="shared" si="33"/>
        <v>20188333.117670309</v>
      </c>
      <c r="H111" s="646">
        <f t="shared" si="36"/>
        <v>3180962.4418578651</v>
      </c>
      <c r="I111" s="573">
        <f t="shared" si="34"/>
        <v>3180962.4418578651</v>
      </c>
      <c r="J111" s="505">
        <f t="shared" si="28"/>
        <v>0</v>
      </c>
      <c r="K111" s="505"/>
      <c r="L111" s="513"/>
      <c r="M111" s="505">
        <f t="shared" si="35"/>
        <v>0</v>
      </c>
      <c r="N111" s="513"/>
      <c r="O111" s="505">
        <f t="shared" si="26"/>
        <v>0</v>
      </c>
      <c r="P111" s="505">
        <f t="shared" si="27"/>
        <v>0</v>
      </c>
      <c r="Q111" s="244"/>
      <c r="R111" s="244"/>
      <c r="S111" s="244"/>
      <c r="T111" s="244"/>
      <c r="U111" s="244"/>
    </row>
    <row r="112" spans="1:21" ht="12.5">
      <c r="B112" s="145" t="str">
        <f t="shared" si="22"/>
        <v/>
      </c>
      <c r="C112" s="496">
        <f>IF(D94="","-",+C111+1)</f>
        <v>2025</v>
      </c>
      <c r="D112" s="350">
        <f>IF(F111+SUM(E$100:E111)=D$93,F111,D$93-SUM(E$100:E111))</f>
        <v>19672007.479456022</v>
      </c>
      <c r="E112" s="510">
        <f>IF(+J97&lt;F111,J97,D112)</f>
        <v>1032651.2764285713</v>
      </c>
      <c r="F112" s="511">
        <f t="shared" si="32"/>
        <v>18639356.20302745</v>
      </c>
      <c r="G112" s="511">
        <f t="shared" si="33"/>
        <v>19155681.841241736</v>
      </c>
      <c r="H112" s="646">
        <f t="shared" si="36"/>
        <v>3071074.4063169537</v>
      </c>
      <c r="I112" s="573">
        <f t="shared" si="34"/>
        <v>3071074.4063169537</v>
      </c>
      <c r="J112" s="505">
        <f t="shared" si="28"/>
        <v>0</v>
      </c>
      <c r="K112" s="505"/>
      <c r="L112" s="513"/>
      <c r="M112" s="505">
        <f t="shared" si="35"/>
        <v>0</v>
      </c>
      <c r="N112" s="513"/>
      <c r="O112" s="505">
        <f t="shared" si="26"/>
        <v>0</v>
      </c>
      <c r="P112" s="505">
        <f t="shared" si="27"/>
        <v>0</v>
      </c>
      <c r="Q112" s="244"/>
      <c r="R112" s="244"/>
      <c r="S112" s="244"/>
      <c r="T112" s="244"/>
      <c r="U112" s="244"/>
    </row>
    <row r="113" spans="2:21" ht="12.5">
      <c r="B113" s="145" t="str">
        <f t="shared" si="22"/>
        <v/>
      </c>
      <c r="C113" s="496">
        <f>IF(D94="","-",+C112+1)</f>
        <v>2026</v>
      </c>
      <c r="D113" s="350">
        <f>IF(F112+SUM(E$100:E112)=D$93,F112,D$93-SUM(E$100:E112))</f>
        <v>18639356.20302745</v>
      </c>
      <c r="E113" s="510">
        <f>IF(+J97&lt;F112,J97,D113)</f>
        <v>1032651.2764285713</v>
      </c>
      <c r="F113" s="511">
        <f t="shared" si="32"/>
        <v>17606704.926598877</v>
      </c>
      <c r="G113" s="511">
        <f t="shared" si="33"/>
        <v>18123030.564813163</v>
      </c>
      <c r="H113" s="646">
        <f t="shared" si="36"/>
        <v>2961186.3707760423</v>
      </c>
      <c r="I113" s="573">
        <f t="shared" si="34"/>
        <v>2961186.3707760423</v>
      </c>
      <c r="J113" s="505">
        <f t="shared" si="28"/>
        <v>0</v>
      </c>
      <c r="K113" s="505"/>
      <c r="L113" s="513"/>
      <c r="M113" s="505">
        <f t="shared" si="35"/>
        <v>0</v>
      </c>
      <c r="N113" s="513"/>
      <c r="O113" s="505">
        <f t="shared" si="26"/>
        <v>0</v>
      </c>
      <c r="P113" s="505">
        <f t="shared" si="27"/>
        <v>0</v>
      </c>
      <c r="Q113" s="244"/>
      <c r="R113" s="244"/>
      <c r="S113" s="244"/>
      <c r="T113" s="244"/>
      <c r="U113" s="244"/>
    </row>
    <row r="114" spans="2:21" ht="12.5">
      <c r="B114" s="145" t="str">
        <f t="shared" si="22"/>
        <v/>
      </c>
      <c r="C114" s="496">
        <f>IF(D94="","-",+C113+1)</f>
        <v>2027</v>
      </c>
      <c r="D114" s="350">
        <f>IF(F113+SUM(E$100:E113)=D$93,F113,D$93-SUM(E$100:E113))</f>
        <v>17606704.926598877</v>
      </c>
      <c r="E114" s="510">
        <f>IF(+J97&lt;F113,J97,D114)</f>
        <v>1032651.2764285713</v>
      </c>
      <c r="F114" s="511">
        <f t="shared" si="32"/>
        <v>16574053.650170306</v>
      </c>
      <c r="G114" s="511">
        <f t="shared" si="33"/>
        <v>17090379.28838459</v>
      </c>
      <c r="H114" s="646">
        <f t="shared" si="36"/>
        <v>2851298.3352351305</v>
      </c>
      <c r="I114" s="573">
        <f t="shared" si="34"/>
        <v>2851298.3352351305</v>
      </c>
      <c r="J114" s="505">
        <f t="shared" si="28"/>
        <v>0</v>
      </c>
      <c r="K114" s="505"/>
      <c r="L114" s="513"/>
      <c r="M114" s="505">
        <f t="shared" si="35"/>
        <v>0</v>
      </c>
      <c r="N114" s="513"/>
      <c r="O114" s="505">
        <f t="shared" si="26"/>
        <v>0</v>
      </c>
      <c r="P114" s="505">
        <f t="shared" si="27"/>
        <v>0</v>
      </c>
      <c r="Q114" s="244"/>
      <c r="R114" s="244"/>
      <c r="S114" s="244"/>
      <c r="T114" s="244"/>
      <c r="U114" s="244"/>
    </row>
    <row r="115" spans="2:21" ht="12.5">
      <c r="B115" s="145" t="str">
        <f t="shared" si="22"/>
        <v/>
      </c>
      <c r="C115" s="496">
        <f>IF(D94="","-",+C114+1)</f>
        <v>2028</v>
      </c>
      <c r="D115" s="350">
        <f>IF(F114+SUM(E$100:E114)=D$93,F114,D$93-SUM(E$100:E114))</f>
        <v>16574053.650170306</v>
      </c>
      <c r="E115" s="510">
        <f>IF(+J97&lt;F114,J97,D115)</f>
        <v>1032651.2764285713</v>
      </c>
      <c r="F115" s="511">
        <f t="shared" si="32"/>
        <v>15541402.373741735</v>
      </c>
      <c r="G115" s="511">
        <f t="shared" si="33"/>
        <v>16057728.011956021</v>
      </c>
      <c r="H115" s="646">
        <f t="shared" si="36"/>
        <v>2741410.2996942196</v>
      </c>
      <c r="I115" s="573">
        <f t="shared" si="34"/>
        <v>2741410.2996942196</v>
      </c>
      <c r="J115" s="505">
        <f t="shared" si="28"/>
        <v>0</v>
      </c>
      <c r="K115" s="505"/>
      <c r="L115" s="513"/>
      <c r="M115" s="505">
        <f t="shared" si="35"/>
        <v>0</v>
      </c>
      <c r="N115" s="513"/>
      <c r="O115" s="505">
        <f t="shared" si="26"/>
        <v>0</v>
      </c>
      <c r="P115" s="505">
        <f t="shared" si="27"/>
        <v>0</v>
      </c>
      <c r="Q115" s="244"/>
      <c r="R115" s="244"/>
      <c r="S115" s="244"/>
      <c r="T115" s="244"/>
      <c r="U115" s="244"/>
    </row>
    <row r="116" spans="2:21" ht="12.5">
      <c r="B116" s="145" t="str">
        <f t="shared" si="22"/>
        <v/>
      </c>
      <c r="C116" s="496">
        <f>IF(D94="","-",+C115+1)</f>
        <v>2029</v>
      </c>
      <c r="D116" s="350">
        <f>IF(F115+SUM(E$100:E115)=D$93,F115,D$93-SUM(E$100:E115))</f>
        <v>15541402.373741735</v>
      </c>
      <c r="E116" s="510">
        <f>IF(+J97&lt;F115,J97,D116)</f>
        <v>1032651.2764285713</v>
      </c>
      <c r="F116" s="511">
        <f t="shared" si="32"/>
        <v>14508751.097313164</v>
      </c>
      <c r="G116" s="511">
        <f t="shared" si="33"/>
        <v>15025076.735527448</v>
      </c>
      <c r="H116" s="646">
        <f t="shared" si="36"/>
        <v>2631522.2641533082</v>
      </c>
      <c r="I116" s="573">
        <f t="shared" si="34"/>
        <v>2631522.2641533082</v>
      </c>
      <c r="J116" s="505">
        <f t="shared" si="28"/>
        <v>0</v>
      </c>
      <c r="K116" s="505"/>
      <c r="L116" s="513"/>
      <c r="M116" s="505">
        <f t="shared" si="35"/>
        <v>0</v>
      </c>
      <c r="N116" s="513"/>
      <c r="O116" s="505">
        <f t="shared" si="26"/>
        <v>0</v>
      </c>
      <c r="P116" s="505">
        <f t="shared" si="27"/>
        <v>0</v>
      </c>
      <c r="Q116" s="244"/>
      <c r="R116" s="244"/>
      <c r="S116" s="244"/>
      <c r="T116" s="244"/>
      <c r="U116" s="244"/>
    </row>
    <row r="117" spans="2:21" ht="12.5">
      <c r="B117" s="145" t="str">
        <f t="shared" si="22"/>
        <v/>
      </c>
      <c r="C117" s="496">
        <f>IF(D94="","-",+C116+1)</f>
        <v>2030</v>
      </c>
      <c r="D117" s="350">
        <f>IF(F116+SUM(E$100:E116)=D$93,F116,D$93-SUM(E$100:E116))</f>
        <v>14508751.097313164</v>
      </c>
      <c r="E117" s="510">
        <f>IF(+J97&lt;F116,J97,D117)</f>
        <v>1032651.2764285713</v>
      </c>
      <c r="F117" s="511">
        <f t="shared" si="32"/>
        <v>13476099.820884593</v>
      </c>
      <c r="G117" s="511">
        <f t="shared" si="33"/>
        <v>13992425.459098879</v>
      </c>
      <c r="H117" s="646">
        <f t="shared" si="36"/>
        <v>2521634.2286123969</v>
      </c>
      <c r="I117" s="573">
        <f t="shared" si="34"/>
        <v>2521634.2286123969</v>
      </c>
      <c r="J117" s="505">
        <f t="shared" si="28"/>
        <v>0</v>
      </c>
      <c r="K117" s="505"/>
      <c r="L117" s="513"/>
      <c r="M117" s="505">
        <f t="shared" si="35"/>
        <v>0</v>
      </c>
      <c r="N117" s="513"/>
      <c r="O117" s="505">
        <f t="shared" si="26"/>
        <v>0</v>
      </c>
      <c r="P117" s="505">
        <f t="shared" si="27"/>
        <v>0</v>
      </c>
      <c r="Q117" s="244"/>
      <c r="R117" s="244"/>
      <c r="S117" s="244"/>
      <c r="T117" s="244"/>
      <c r="U117" s="244"/>
    </row>
    <row r="118" spans="2:21" ht="12.5">
      <c r="B118" s="145" t="str">
        <f t="shared" si="22"/>
        <v/>
      </c>
      <c r="C118" s="496">
        <f>IF(D94="","-",+C117+1)</f>
        <v>2031</v>
      </c>
      <c r="D118" s="350">
        <f>IF(F117+SUM(E$100:E117)=D$93,F117,D$93-SUM(E$100:E117))</f>
        <v>13476099.820884593</v>
      </c>
      <c r="E118" s="510">
        <f>IF(+J97&lt;F117,J97,D118)</f>
        <v>1032651.2764285713</v>
      </c>
      <c r="F118" s="511">
        <f t="shared" si="32"/>
        <v>12443448.544456022</v>
      </c>
      <c r="G118" s="511">
        <f t="shared" si="33"/>
        <v>12959774.182670306</v>
      </c>
      <c r="H118" s="646">
        <f t="shared" si="36"/>
        <v>2411746.1930714855</v>
      </c>
      <c r="I118" s="573">
        <f t="shared" si="34"/>
        <v>2411746.1930714855</v>
      </c>
      <c r="J118" s="505">
        <f t="shared" si="28"/>
        <v>0</v>
      </c>
      <c r="K118" s="505"/>
      <c r="L118" s="513"/>
      <c r="M118" s="505">
        <f t="shared" si="35"/>
        <v>0</v>
      </c>
      <c r="N118" s="513"/>
      <c r="O118" s="505">
        <f t="shared" si="26"/>
        <v>0</v>
      </c>
      <c r="P118" s="505">
        <f t="shared" si="27"/>
        <v>0</v>
      </c>
      <c r="Q118" s="244"/>
      <c r="R118" s="244"/>
      <c r="S118" s="244"/>
      <c r="T118" s="244"/>
      <c r="U118" s="244"/>
    </row>
    <row r="119" spans="2:21" ht="12.5">
      <c r="B119" s="145" t="str">
        <f t="shared" si="22"/>
        <v/>
      </c>
      <c r="C119" s="496">
        <f>IF(D94="","-",+C118+1)</f>
        <v>2032</v>
      </c>
      <c r="D119" s="350">
        <f>IF(F118+SUM(E$100:E118)=D$93,F118,D$93-SUM(E$100:E118))</f>
        <v>12443448.544456022</v>
      </c>
      <c r="E119" s="510">
        <f>IF(+J97&lt;F118,J97,D119)</f>
        <v>1032651.2764285713</v>
      </c>
      <c r="F119" s="511">
        <f t="shared" si="32"/>
        <v>11410797.268027451</v>
      </c>
      <c r="G119" s="511">
        <f t="shared" si="33"/>
        <v>11927122.906241737</v>
      </c>
      <c r="H119" s="646">
        <f t="shared" si="36"/>
        <v>2301858.1575305746</v>
      </c>
      <c r="I119" s="573">
        <f t="shared" si="34"/>
        <v>2301858.1575305746</v>
      </c>
      <c r="J119" s="505">
        <f t="shared" si="28"/>
        <v>0</v>
      </c>
      <c r="K119" s="505"/>
      <c r="L119" s="513"/>
      <c r="M119" s="505">
        <f t="shared" si="35"/>
        <v>0</v>
      </c>
      <c r="N119" s="513"/>
      <c r="O119" s="505">
        <f t="shared" si="26"/>
        <v>0</v>
      </c>
      <c r="P119" s="505">
        <f t="shared" si="27"/>
        <v>0</v>
      </c>
      <c r="Q119" s="244"/>
      <c r="R119" s="244"/>
      <c r="S119" s="244"/>
      <c r="T119" s="244"/>
      <c r="U119" s="244"/>
    </row>
    <row r="120" spans="2:21" ht="12.5">
      <c r="B120" s="145" t="str">
        <f t="shared" si="22"/>
        <v/>
      </c>
      <c r="C120" s="496">
        <f>IF(D94="","-",+C119+1)</f>
        <v>2033</v>
      </c>
      <c r="D120" s="350">
        <f>IF(F119+SUM(E$100:E119)=D$93,F119,D$93-SUM(E$100:E119))</f>
        <v>11410797.268027451</v>
      </c>
      <c r="E120" s="510">
        <f>IF(+J97&lt;F119,J97,D120)</f>
        <v>1032651.2764285713</v>
      </c>
      <c r="F120" s="511">
        <f t="shared" si="32"/>
        <v>10378145.99159888</v>
      </c>
      <c r="G120" s="511">
        <f t="shared" si="33"/>
        <v>10894471.629813164</v>
      </c>
      <c r="H120" s="646">
        <f t="shared" si="36"/>
        <v>2191970.1219896628</v>
      </c>
      <c r="I120" s="573">
        <f t="shared" si="34"/>
        <v>2191970.1219896628</v>
      </c>
      <c r="J120" s="505">
        <f t="shared" si="28"/>
        <v>0</v>
      </c>
      <c r="K120" s="505"/>
      <c r="L120" s="513"/>
      <c r="M120" s="505">
        <f t="shared" si="35"/>
        <v>0</v>
      </c>
      <c r="N120" s="513"/>
      <c r="O120" s="505">
        <f t="shared" si="26"/>
        <v>0</v>
      </c>
      <c r="P120" s="505">
        <f t="shared" si="27"/>
        <v>0</v>
      </c>
      <c r="Q120" s="244"/>
      <c r="R120" s="244"/>
      <c r="S120" s="244"/>
      <c r="T120" s="244"/>
      <c r="U120" s="244"/>
    </row>
    <row r="121" spans="2:21" ht="12.5">
      <c r="B121" s="145" t="str">
        <f t="shared" si="22"/>
        <v/>
      </c>
      <c r="C121" s="496">
        <f>IF(D94="","-",+C120+1)</f>
        <v>2034</v>
      </c>
      <c r="D121" s="350">
        <f>IF(F120+SUM(E$100:E120)=D$93,F120,D$93-SUM(E$100:E120))</f>
        <v>10378145.99159888</v>
      </c>
      <c r="E121" s="510">
        <f>IF(+J97&lt;F120,J97,D121)</f>
        <v>1032651.2764285713</v>
      </c>
      <c r="F121" s="511">
        <f t="shared" si="32"/>
        <v>9345494.7151703089</v>
      </c>
      <c r="G121" s="511">
        <f t="shared" si="33"/>
        <v>9861820.3533845954</v>
      </c>
      <c r="H121" s="646">
        <f t="shared" si="36"/>
        <v>2082082.0864487519</v>
      </c>
      <c r="I121" s="573">
        <f t="shared" si="34"/>
        <v>2082082.0864487519</v>
      </c>
      <c r="J121" s="505">
        <f t="shared" si="28"/>
        <v>0</v>
      </c>
      <c r="K121" s="505"/>
      <c r="L121" s="513"/>
      <c r="M121" s="505">
        <f t="shared" si="35"/>
        <v>0</v>
      </c>
      <c r="N121" s="513"/>
      <c r="O121" s="505">
        <f t="shared" si="26"/>
        <v>0</v>
      </c>
      <c r="P121" s="505">
        <f t="shared" si="27"/>
        <v>0</v>
      </c>
      <c r="Q121" s="244"/>
      <c r="R121" s="244"/>
      <c r="S121" s="244"/>
      <c r="T121" s="244"/>
      <c r="U121" s="244"/>
    </row>
    <row r="122" spans="2:21" ht="12.5">
      <c r="B122" s="145" t="str">
        <f t="shared" si="22"/>
        <v/>
      </c>
      <c r="C122" s="496">
        <f>IF(D94="","-",+C121+1)</f>
        <v>2035</v>
      </c>
      <c r="D122" s="350">
        <f>IF(F121+SUM(E$100:E121)=D$93,F121,D$93-SUM(E$100:E121))</f>
        <v>9345494.7151703089</v>
      </c>
      <c r="E122" s="510">
        <f>IF(+J97&lt;F121,J97,D122)</f>
        <v>1032651.2764285713</v>
      </c>
      <c r="F122" s="511">
        <f t="shared" si="32"/>
        <v>8312843.438741738</v>
      </c>
      <c r="G122" s="511">
        <f t="shared" si="33"/>
        <v>8829169.0769560225</v>
      </c>
      <c r="H122" s="646">
        <f t="shared" si="36"/>
        <v>1972194.0509078405</v>
      </c>
      <c r="I122" s="573">
        <f t="shared" si="34"/>
        <v>1972194.0509078405</v>
      </c>
      <c r="J122" s="505">
        <f t="shared" si="28"/>
        <v>0</v>
      </c>
      <c r="K122" s="505"/>
      <c r="L122" s="513"/>
      <c r="M122" s="505">
        <f t="shared" si="35"/>
        <v>0</v>
      </c>
      <c r="N122" s="513"/>
      <c r="O122" s="505">
        <f t="shared" si="26"/>
        <v>0</v>
      </c>
      <c r="P122" s="505">
        <f t="shared" si="27"/>
        <v>0</v>
      </c>
      <c r="Q122" s="244"/>
      <c r="R122" s="244"/>
      <c r="S122" s="244"/>
      <c r="T122" s="244"/>
      <c r="U122" s="244"/>
    </row>
    <row r="123" spans="2:21" ht="12.5">
      <c r="B123" s="145" t="str">
        <f t="shared" si="22"/>
        <v/>
      </c>
      <c r="C123" s="496">
        <f>IF(D94="","-",+C122+1)</f>
        <v>2036</v>
      </c>
      <c r="D123" s="350">
        <f>IF(F122+SUM(E$100:E122)=D$93,F122,D$93-SUM(E$100:E122))</f>
        <v>8312843.438741738</v>
      </c>
      <c r="E123" s="510">
        <f>IF(+J97&lt;F122,J97,D123)</f>
        <v>1032651.2764285713</v>
      </c>
      <c r="F123" s="511">
        <f t="shared" si="32"/>
        <v>7280192.162313167</v>
      </c>
      <c r="G123" s="511">
        <f t="shared" si="33"/>
        <v>7796517.8005274525</v>
      </c>
      <c r="H123" s="646">
        <f t="shared" si="36"/>
        <v>1862306.0153669291</v>
      </c>
      <c r="I123" s="573">
        <f t="shared" si="34"/>
        <v>1862306.0153669291</v>
      </c>
      <c r="J123" s="505">
        <f t="shared" si="28"/>
        <v>0</v>
      </c>
      <c r="K123" s="505"/>
      <c r="L123" s="513"/>
      <c r="M123" s="505">
        <f t="shared" si="35"/>
        <v>0</v>
      </c>
      <c r="N123" s="513"/>
      <c r="O123" s="505">
        <f t="shared" si="26"/>
        <v>0</v>
      </c>
      <c r="P123" s="505">
        <f t="shared" si="27"/>
        <v>0</v>
      </c>
      <c r="Q123" s="244"/>
      <c r="R123" s="244"/>
      <c r="S123" s="244"/>
      <c r="T123" s="244"/>
      <c r="U123" s="244"/>
    </row>
    <row r="124" spans="2:21" ht="12.5">
      <c r="B124" s="145" t="str">
        <f t="shared" si="22"/>
        <v/>
      </c>
      <c r="C124" s="496">
        <f>IF(D94="","-",+C123+1)</f>
        <v>2037</v>
      </c>
      <c r="D124" s="350">
        <f>IF(F123+SUM(E$100:E123)=D$93,F123,D$93-SUM(E$100:E123))</f>
        <v>7280192.162313167</v>
      </c>
      <c r="E124" s="510">
        <f>IF(+J97&lt;F123,J97,D124)</f>
        <v>1032651.2764285713</v>
      </c>
      <c r="F124" s="511">
        <f t="shared" si="32"/>
        <v>6247540.885884596</v>
      </c>
      <c r="G124" s="511">
        <f t="shared" si="33"/>
        <v>6763866.5240988815</v>
      </c>
      <c r="H124" s="646">
        <f t="shared" si="36"/>
        <v>1752417.979826018</v>
      </c>
      <c r="I124" s="573">
        <f t="shared" si="34"/>
        <v>1752417.979826018</v>
      </c>
      <c r="J124" s="505">
        <f t="shared" si="28"/>
        <v>0</v>
      </c>
      <c r="K124" s="505"/>
      <c r="L124" s="513"/>
      <c r="M124" s="505">
        <f t="shared" si="35"/>
        <v>0</v>
      </c>
      <c r="N124" s="513"/>
      <c r="O124" s="505">
        <f t="shared" si="26"/>
        <v>0</v>
      </c>
      <c r="P124" s="505">
        <f t="shared" si="27"/>
        <v>0</v>
      </c>
      <c r="Q124" s="244"/>
      <c r="R124" s="244"/>
      <c r="S124" s="244"/>
      <c r="T124" s="244"/>
      <c r="U124" s="244"/>
    </row>
    <row r="125" spans="2:21" ht="12.5">
      <c r="B125" s="145" t="str">
        <f t="shared" si="22"/>
        <v/>
      </c>
      <c r="C125" s="496">
        <f>IF(D94="","-",+C124+1)</f>
        <v>2038</v>
      </c>
      <c r="D125" s="350">
        <f>IF(F124+SUM(E$100:E124)=D$93,F124,D$93-SUM(E$100:E124))</f>
        <v>6247540.885884596</v>
      </c>
      <c r="E125" s="510">
        <f>IF(+J97&lt;F124,J97,D125)</f>
        <v>1032651.2764285713</v>
      </c>
      <c r="F125" s="511">
        <f t="shared" si="32"/>
        <v>5214889.6094560251</v>
      </c>
      <c r="G125" s="511">
        <f t="shared" si="33"/>
        <v>5731215.2476703105</v>
      </c>
      <c r="H125" s="646">
        <f t="shared" si="36"/>
        <v>1642529.9442851068</v>
      </c>
      <c r="I125" s="573">
        <f t="shared" si="34"/>
        <v>1642529.9442851068</v>
      </c>
      <c r="J125" s="505">
        <f t="shared" si="28"/>
        <v>0</v>
      </c>
      <c r="K125" s="505"/>
      <c r="L125" s="513"/>
      <c r="M125" s="505">
        <f t="shared" si="35"/>
        <v>0</v>
      </c>
      <c r="N125" s="513"/>
      <c r="O125" s="505">
        <f t="shared" si="26"/>
        <v>0</v>
      </c>
      <c r="P125" s="505">
        <f t="shared" si="27"/>
        <v>0</v>
      </c>
      <c r="Q125" s="244"/>
      <c r="R125" s="244"/>
      <c r="S125" s="244"/>
      <c r="T125" s="244"/>
      <c r="U125" s="244"/>
    </row>
    <row r="126" spans="2:21" ht="12.5">
      <c r="B126" s="145" t="str">
        <f t="shared" si="22"/>
        <v/>
      </c>
      <c r="C126" s="496">
        <f>IF(D94="","-",+C125+1)</f>
        <v>2039</v>
      </c>
      <c r="D126" s="350">
        <f>IF(F125+SUM(E$100:E125)=D$93,F125,D$93-SUM(E$100:E125))</f>
        <v>5214889.6094560251</v>
      </c>
      <c r="E126" s="510">
        <f>IF(+J97&lt;F125,J97,D126)</f>
        <v>1032651.2764285713</v>
      </c>
      <c r="F126" s="511">
        <f t="shared" si="32"/>
        <v>4182238.3330274536</v>
      </c>
      <c r="G126" s="511">
        <f t="shared" si="33"/>
        <v>4698563.9712417396</v>
      </c>
      <c r="H126" s="646">
        <f t="shared" si="36"/>
        <v>1532641.9087441955</v>
      </c>
      <c r="I126" s="573">
        <f t="shared" si="34"/>
        <v>1532641.9087441955</v>
      </c>
      <c r="J126" s="505">
        <f t="shared" si="28"/>
        <v>0</v>
      </c>
      <c r="K126" s="505"/>
      <c r="L126" s="513"/>
      <c r="M126" s="505">
        <f t="shared" si="35"/>
        <v>0</v>
      </c>
      <c r="N126" s="513"/>
      <c r="O126" s="505">
        <f t="shared" si="26"/>
        <v>0</v>
      </c>
      <c r="P126" s="505">
        <f t="shared" si="27"/>
        <v>0</v>
      </c>
      <c r="Q126" s="244"/>
      <c r="R126" s="244"/>
      <c r="S126" s="244"/>
      <c r="T126" s="244"/>
      <c r="U126" s="244"/>
    </row>
    <row r="127" spans="2:21" ht="12.5">
      <c r="B127" s="145" t="str">
        <f t="shared" si="22"/>
        <v/>
      </c>
      <c r="C127" s="496">
        <f>IF(D94="","-",+C126+1)</f>
        <v>2040</v>
      </c>
      <c r="D127" s="350">
        <f>IF(F126+SUM(E$100:E126)=D$93,F126,D$93-SUM(E$100:E126))</f>
        <v>4182238.3330274536</v>
      </c>
      <c r="E127" s="510">
        <f>IF(+J97&lt;F126,J97,D127)</f>
        <v>1032651.2764285713</v>
      </c>
      <c r="F127" s="511">
        <f t="shared" si="32"/>
        <v>3149587.0565988822</v>
      </c>
      <c r="G127" s="511">
        <f t="shared" si="33"/>
        <v>3665912.6948131677</v>
      </c>
      <c r="H127" s="646">
        <f t="shared" si="36"/>
        <v>1422753.8732032841</v>
      </c>
      <c r="I127" s="573">
        <f t="shared" si="34"/>
        <v>1422753.8732032841</v>
      </c>
      <c r="J127" s="505">
        <f t="shared" si="28"/>
        <v>0</v>
      </c>
      <c r="K127" s="505"/>
      <c r="L127" s="513"/>
      <c r="M127" s="505">
        <f t="shared" si="35"/>
        <v>0</v>
      </c>
      <c r="N127" s="513"/>
      <c r="O127" s="505">
        <f t="shared" si="26"/>
        <v>0</v>
      </c>
      <c r="P127" s="505">
        <f t="shared" si="27"/>
        <v>0</v>
      </c>
      <c r="Q127" s="244"/>
      <c r="R127" s="244"/>
      <c r="S127" s="244"/>
      <c r="T127" s="244"/>
      <c r="U127" s="244"/>
    </row>
    <row r="128" spans="2:21" ht="12.5">
      <c r="B128" s="145" t="str">
        <f t="shared" si="22"/>
        <v/>
      </c>
      <c r="C128" s="496">
        <f>IF(D94="","-",+C127+1)</f>
        <v>2041</v>
      </c>
      <c r="D128" s="350">
        <f>IF(F127+SUM(E$100:E127)=D$93,F127,D$93-SUM(E$100:E127))</f>
        <v>3149587.0565988822</v>
      </c>
      <c r="E128" s="510">
        <f>IF(+J97&lt;F127,J97,D128)</f>
        <v>1032651.2764285713</v>
      </c>
      <c r="F128" s="511">
        <f t="shared" si="32"/>
        <v>2116935.7801703108</v>
      </c>
      <c r="G128" s="511">
        <f t="shared" si="33"/>
        <v>2633261.4183845967</v>
      </c>
      <c r="H128" s="646">
        <f t="shared" si="36"/>
        <v>1312865.8376623727</v>
      </c>
      <c r="I128" s="573">
        <f t="shared" si="34"/>
        <v>1312865.8376623727</v>
      </c>
      <c r="J128" s="505">
        <f t="shared" si="28"/>
        <v>0</v>
      </c>
      <c r="K128" s="505"/>
      <c r="L128" s="513"/>
      <c r="M128" s="505">
        <f t="shared" si="35"/>
        <v>0</v>
      </c>
      <c r="N128" s="513"/>
      <c r="O128" s="505">
        <f t="shared" si="26"/>
        <v>0</v>
      </c>
      <c r="P128" s="505">
        <f t="shared" si="27"/>
        <v>0</v>
      </c>
      <c r="Q128" s="244"/>
      <c r="R128" s="244"/>
      <c r="S128" s="244"/>
      <c r="T128" s="244"/>
      <c r="U128" s="244"/>
    </row>
    <row r="129" spans="2:21" ht="12.5">
      <c r="B129" s="145" t="str">
        <f t="shared" si="22"/>
        <v/>
      </c>
      <c r="C129" s="496">
        <f>IF(D94="","-",+C128+1)</f>
        <v>2042</v>
      </c>
      <c r="D129" s="350">
        <f>IF(F128+SUM(E$100:E128)=D$93,F128,D$93-SUM(E$100:E128))</f>
        <v>2116935.7801703108</v>
      </c>
      <c r="E129" s="510">
        <f>IF(+J97&lt;F128,J97,D129)</f>
        <v>1032651.2764285713</v>
      </c>
      <c r="F129" s="511">
        <f t="shared" si="32"/>
        <v>1084284.5037417393</v>
      </c>
      <c r="G129" s="511">
        <f t="shared" si="33"/>
        <v>1600610.141956025</v>
      </c>
      <c r="H129" s="646">
        <f t="shared" si="36"/>
        <v>1202977.8021214614</v>
      </c>
      <c r="I129" s="573">
        <f t="shared" si="34"/>
        <v>1202977.8021214614</v>
      </c>
      <c r="J129" s="505">
        <f t="shared" si="28"/>
        <v>0</v>
      </c>
      <c r="K129" s="505"/>
      <c r="L129" s="513"/>
      <c r="M129" s="505">
        <f t="shared" si="35"/>
        <v>0</v>
      </c>
      <c r="N129" s="513"/>
      <c r="O129" s="505">
        <f t="shared" si="26"/>
        <v>0</v>
      </c>
      <c r="P129" s="505">
        <f t="shared" si="27"/>
        <v>0</v>
      </c>
      <c r="Q129" s="244"/>
      <c r="R129" s="244"/>
      <c r="S129" s="244"/>
      <c r="T129" s="244"/>
      <c r="U129" s="244"/>
    </row>
    <row r="130" spans="2:21" ht="12.5">
      <c r="B130" s="145" t="str">
        <f t="shared" si="22"/>
        <v/>
      </c>
      <c r="C130" s="496">
        <f>IF(D94="","-",+C129+1)</f>
        <v>2043</v>
      </c>
      <c r="D130" s="350">
        <f>IF(F129+SUM(E$100:E129)=D$93,F129,D$93-SUM(E$100:E129))</f>
        <v>1084284.5037417393</v>
      </c>
      <c r="E130" s="510">
        <f>IF(+J97&lt;F129,J97,D130)</f>
        <v>1032651.2764285713</v>
      </c>
      <c r="F130" s="511">
        <f t="shared" si="32"/>
        <v>51633.227313167998</v>
      </c>
      <c r="G130" s="511">
        <f t="shared" si="33"/>
        <v>567958.8655274536</v>
      </c>
      <c r="H130" s="646">
        <f t="shared" si="36"/>
        <v>1093089.76658055</v>
      </c>
      <c r="I130" s="573">
        <f t="shared" si="34"/>
        <v>1093089.76658055</v>
      </c>
      <c r="J130" s="505">
        <f t="shared" si="28"/>
        <v>0</v>
      </c>
      <c r="K130" s="505"/>
      <c r="L130" s="513"/>
      <c r="M130" s="505">
        <f t="shared" si="35"/>
        <v>0</v>
      </c>
      <c r="N130" s="513"/>
      <c r="O130" s="505">
        <f t="shared" si="26"/>
        <v>0</v>
      </c>
      <c r="P130" s="505">
        <f t="shared" si="27"/>
        <v>0</v>
      </c>
      <c r="Q130" s="244"/>
      <c r="R130" s="244"/>
      <c r="S130" s="244"/>
      <c r="T130" s="244"/>
      <c r="U130" s="244"/>
    </row>
    <row r="131" spans="2:21" ht="12.5">
      <c r="B131" s="145" t="str">
        <f t="shared" si="22"/>
        <v/>
      </c>
      <c r="C131" s="496">
        <f>IF(D94="","-",+C130+1)</f>
        <v>2044</v>
      </c>
      <c r="D131" s="350">
        <f>IF(F130+SUM(E$100:E130)=D$93,F130,D$93-SUM(E$100:E130))</f>
        <v>51633.227313167998</v>
      </c>
      <c r="E131" s="510">
        <f>IF(+J97&lt;F130,J97,D131)</f>
        <v>51633.227313167998</v>
      </c>
      <c r="F131" s="511">
        <f t="shared" si="32"/>
        <v>0</v>
      </c>
      <c r="G131" s="511">
        <f t="shared" si="33"/>
        <v>25816.613656583999</v>
      </c>
      <c r="H131" s="646">
        <f t="shared" si="36"/>
        <v>54380.463503929546</v>
      </c>
      <c r="I131" s="573">
        <f t="shared" si="34"/>
        <v>54380.463503929546</v>
      </c>
      <c r="J131" s="505">
        <f t="shared" si="28"/>
        <v>0</v>
      </c>
      <c r="K131" s="505"/>
      <c r="L131" s="513"/>
      <c r="M131" s="505">
        <f t="shared" si="35"/>
        <v>0</v>
      </c>
      <c r="N131" s="513"/>
      <c r="O131" s="505">
        <f t="shared" si="26"/>
        <v>0</v>
      </c>
      <c r="P131" s="505">
        <f t="shared" si="27"/>
        <v>0</v>
      </c>
      <c r="Q131" s="244"/>
      <c r="R131" s="244"/>
      <c r="S131" s="244"/>
      <c r="T131" s="244"/>
      <c r="U131" s="244"/>
    </row>
    <row r="132" spans="2:21" ht="12.5">
      <c r="B132" s="145" t="str">
        <f t="shared" ref="B132:B155" si="37">IF(D132=F131,"","IU")</f>
        <v/>
      </c>
      <c r="C132" s="496">
        <f>IF(D94="","-",+C131+1)</f>
        <v>2045</v>
      </c>
      <c r="D132" s="350">
        <f>IF(F131+SUM(E$100:E131)=D$93,F131,D$93-SUM(E$100:E131))</f>
        <v>0</v>
      </c>
      <c r="E132" s="510">
        <f>IF(+J97&lt;F131,J97,D132)</f>
        <v>0</v>
      </c>
      <c r="F132" s="511">
        <f t="shared" si="32"/>
        <v>0</v>
      </c>
      <c r="G132" s="511">
        <f t="shared" ref="G132:G155" si="38">+(F132+D132)/2</f>
        <v>0</v>
      </c>
      <c r="H132" s="646">
        <f t="shared" si="36"/>
        <v>0</v>
      </c>
      <c r="I132" s="573">
        <f t="shared" ref="I132:I155" si="39">+J$96*G132+E132</f>
        <v>0</v>
      </c>
      <c r="J132" s="505">
        <f t="shared" ref="J132:J155" si="40">+I132-H132</f>
        <v>0</v>
      </c>
      <c r="K132" s="505"/>
      <c r="L132" s="513"/>
      <c r="M132" s="505">
        <f t="shared" ref="M132:M155" si="41">IF(L132&lt;&gt;0,+H132-L132,0)</f>
        <v>0</v>
      </c>
      <c r="N132" s="513"/>
      <c r="O132" s="505">
        <f t="shared" ref="O132:O155" si="42">IF(N132&lt;&gt;0,+I132-N132,0)</f>
        <v>0</v>
      </c>
      <c r="P132" s="505">
        <f t="shared" ref="P132:P155" si="43">+O132-M132</f>
        <v>0</v>
      </c>
      <c r="Q132" s="244"/>
      <c r="R132" s="244"/>
      <c r="S132" s="244"/>
      <c r="T132" s="244"/>
      <c r="U132" s="244"/>
    </row>
    <row r="133" spans="2:21" ht="12.5">
      <c r="B133" s="145" t="str">
        <f t="shared" si="37"/>
        <v/>
      </c>
      <c r="C133" s="496">
        <f>IF(D94="","-",+C132+1)</f>
        <v>2046</v>
      </c>
      <c r="D133" s="350">
        <f>IF(F132+SUM(E$100:E132)=D$93,F132,D$93-SUM(E$100:E132))</f>
        <v>0</v>
      </c>
      <c r="E133" s="510">
        <f>IF(+J97&lt;F132,J97,D133)</f>
        <v>0</v>
      </c>
      <c r="F133" s="511">
        <f t="shared" ref="F133:F155" si="44">+D133-E133</f>
        <v>0</v>
      </c>
      <c r="G133" s="511">
        <f t="shared" si="38"/>
        <v>0</v>
      </c>
      <c r="H133" s="646">
        <f t="shared" si="36"/>
        <v>0</v>
      </c>
      <c r="I133" s="573">
        <f t="shared" si="39"/>
        <v>0</v>
      </c>
      <c r="J133" s="505">
        <f t="shared" si="40"/>
        <v>0</v>
      </c>
      <c r="K133" s="505"/>
      <c r="L133" s="513"/>
      <c r="M133" s="505">
        <f t="shared" si="41"/>
        <v>0</v>
      </c>
      <c r="N133" s="513"/>
      <c r="O133" s="505">
        <f t="shared" si="42"/>
        <v>0</v>
      </c>
      <c r="P133" s="505">
        <f t="shared" si="43"/>
        <v>0</v>
      </c>
      <c r="Q133" s="244"/>
      <c r="R133" s="244"/>
      <c r="S133" s="244"/>
      <c r="T133" s="244"/>
      <c r="U133" s="244"/>
    </row>
    <row r="134" spans="2:21" ht="12.5">
      <c r="B134" s="145" t="str">
        <f t="shared" si="37"/>
        <v/>
      </c>
      <c r="C134" s="496">
        <f>IF(D94="","-",+C133+1)</f>
        <v>2047</v>
      </c>
      <c r="D134" s="350">
        <f>IF(F133+SUM(E$100:E133)=D$93,F133,D$93-SUM(E$100:E133))</f>
        <v>0</v>
      </c>
      <c r="E134" s="510">
        <f>IF(+J97&lt;F133,J97,D134)</f>
        <v>0</v>
      </c>
      <c r="F134" s="511">
        <f t="shared" si="44"/>
        <v>0</v>
      </c>
      <c r="G134" s="511">
        <f t="shared" si="38"/>
        <v>0</v>
      </c>
      <c r="H134" s="646">
        <f t="shared" si="36"/>
        <v>0</v>
      </c>
      <c r="I134" s="573">
        <f t="shared" si="39"/>
        <v>0</v>
      </c>
      <c r="J134" s="505">
        <f t="shared" si="40"/>
        <v>0</v>
      </c>
      <c r="K134" s="505"/>
      <c r="L134" s="513"/>
      <c r="M134" s="505">
        <f t="shared" si="41"/>
        <v>0</v>
      </c>
      <c r="N134" s="513"/>
      <c r="O134" s="505">
        <f t="shared" si="42"/>
        <v>0</v>
      </c>
      <c r="P134" s="505">
        <f t="shared" si="43"/>
        <v>0</v>
      </c>
      <c r="Q134" s="244"/>
      <c r="R134" s="244"/>
      <c r="S134" s="244"/>
      <c r="T134" s="244"/>
      <c r="U134" s="244"/>
    </row>
    <row r="135" spans="2:21" ht="12.5">
      <c r="B135" s="145" t="str">
        <f t="shared" si="37"/>
        <v/>
      </c>
      <c r="C135" s="496">
        <f>IF(D94="","-",+C134+1)</f>
        <v>2048</v>
      </c>
      <c r="D135" s="350">
        <f>IF(F134+SUM(E$100:E134)=D$93,F134,D$93-SUM(E$100:E134))</f>
        <v>0</v>
      </c>
      <c r="E135" s="510">
        <f>IF(+J97&lt;F134,J97,D135)</f>
        <v>0</v>
      </c>
      <c r="F135" s="511">
        <f t="shared" si="44"/>
        <v>0</v>
      </c>
      <c r="G135" s="511">
        <f t="shared" si="38"/>
        <v>0</v>
      </c>
      <c r="H135" s="646">
        <f t="shared" si="36"/>
        <v>0</v>
      </c>
      <c r="I135" s="573">
        <f t="shared" si="39"/>
        <v>0</v>
      </c>
      <c r="J135" s="505">
        <f t="shared" si="40"/>
        <v>0</v>
      </c>
      <c r="K135" s="505"/>
      <c r="L135" s="513"/>
      <c r="M135" s="505">
        <f t="shared" si="41"/>
        <v>0</v>
      </c>
      <c r="N135" s="513"/>
      <c r="O135" s="505">
        <f t="shared" si="42"/>
        <v>0</v>
      </c>
      <c r="P135" s="505">
        <f t="shared" si="43"/>
        <v>0</v>
      </c>
      <c r="Q135" s="244"/>
      <c r="R135" s="244"/>
      <c r="S135" s="244"/>
      <c r="T135" s="244"/>
      <c r="U135" s="244"/>
    </row>
    <row r="136" spans="2:21" ht="12.5">
      <c r="B136" s="145" t="str">
        <f t="shared" si="37"/>
        <v/>
      </c>
      <c r="C136" s="496">
        <f>IF(D94="","-",+C135+1)</f>
        <v>2049</v>
      </c>
      <c r="D136" s="350">
        <f>IF(F135+SUM(E$100:E135)=D$93,F135,D$93-SUM(E$100:E135))</f>
        <v>0</v>
      </c>
      <c r="E136" s="510">
        <f>IF(+J97&lt;F135,J97,D136)</f>
        <v>0</v>
      </c>
      <c r="F136" s="511">
        <f t="shared" si="44"/>
        <v>0</v>
      </c>
      <c r="G136" s="511">
        <f t="shared" si="38"/>
        <v>0</v>
      </c>
      <c r="H136" s="646">
        <f t="shared" si="36"/>
        <v>0</v>
      </c>
      <c r="I136" s="573">
        <f t="shared" si="39"/>
        <v>0</v>
      </c>
      <c r="J136" s="505">
        <f t="shared" si="40"/>
        <v>0</v>
      </c>
      <c r="K136" s="505"/>
      <c r="L136" s="513"/>
      <c r="M136" s="505">
        <f t="shared" si="41"/>
        <v>0</v>
      </c>
      <c r="N136" s="513"/>
      <c r="O136" s="505">
        <f t="shared" si="42"/>
        <v>0</v>
      </c>
      <c r="P136" s="505">
        <f t="shared" si="43"/>
        <v>0</v>
      </c>
      <c r="Q136" s="244"/>
      <c r="R136" s="244"/>
      <c r="S136" s="244"/>
      <c r="T136" s="244"/>
      <c r="U136" s="244"/>
    </row>
    <row r="137" spans="2:21" ht="12.5">
      <c r="B137" s="145" t="str">
        <f t="shared" si="37"/>
        <v/>
      </c>
      <c r="C137" s="496">
        <f>IF(D94="","-",+C136+1)</f>
        <v>2050</v>
      </c>
      <c r="D137" s="350">
        <f>IF(F136+SUM(E$100:E136)=D$93,F136,D$93-SUM(E$100:E136))</f>
        <v>0</v>
      </c>
      <c r="E137" s="510">
        <f>IF(+J97&lt;F136,J97,D137)</f>
        <v>0</v>
      </c>
      <c r="F137" s="511">
        <f t="shared" si="44"/>
        <v>0</v>
      </c>
      <c r="G137" s="511">
        <f t="shared" si="38"/>
        <v>0</v>
      </c>
      <c r="H137" s="646">
        <f t="shared" si="36"/>
        <v>0</v>
      </c>
      <c r="I137" s="573">
        <f t="shared" si="39"/>
        <v>0</v>
      </c>
      <c r="J137" s="505">
        <f t="shared" si="40"/>
        <v>0</v>
      </c>
      <c r="K137" s="505"/>
      <c r="L137" s="513"/>
      <c r="M137" s="505">
        <f t="shared" si="41"/>
        <v>0</v>
      </c>
      <c r="N137" s="513"/>
      <c r="O137" s="505">
        <f t="shared" si="42"/>
        <v>0</v>
      </c>
      <c r="P137" s="505">
        <f t="shared" si="43"/>
        <v>0</v>
      </c>
      <c r="Q137" s="244"/>
      <c r="R137" s="244"/>
      <c r="S137" s="244"/>
      <c r="T137" s="244"/>
      <c r="U137" s="244"/>
    </row>
    <row r="138" spans="2:21" ht="12.5">
      <c r="B138" s="145" t="str">
        <f t="shared" si="37"/>
        <v/>
      </c>
      <c r="C138" s="496">
        <f>IF(D94="","-",+C137+1)</f>
        <v>2051</v>
      </c>
      <c r="D138" s="350">
        <f>IF(F137+SUM(E$100:E137)=D$93,F137,D$93-SUM(E$100:E137))</f>
        <v>0</v>
      </c>
      <c r="E138" s="510">
        <f>IF(+J97&lt;F137,J97,D138)</f>
        <v>0</v>
      </c>
      <c r="F138" s="511">
        <f t="shared" si="44"/>
        <v>0</v>
      </c>
      <c r="G138" s="511">
        <f t="shared" si="38"/>
        <v>0</v>
      </c>
      <c r="H138" s="646">
        <f t="shared" si="36"/>
        <v>0</v>
      </c>
      <c r="I138" s="573">
        <f t="shared" si="39"/>
        <v>0</v>
      </c>
      <c r="J138" s="505">
        <f t="shared" si="40"/>
        <v>0</v>
      </c>
      <c r="K138" s="505"/>
      <c r="L138" s="513"/>
      <c r="M138" s="505">
        <f t="shared" si="41"/>
        <v>0</v>
      </c>
      <c r="N138" s="513"/>
      <c r="O138" s="505">
        <f t="shared" si="42"/>
        <v>0</v>
      </c>
      <c r="P138" s="505">
        <f t="shared" si="43"/>
        <v>0</v>
      </c>
      <c r="Q138" s="244"/>
      <c r="R138" s="244"/>
      <c r="S138" s="244"/>
      <c r="T138" s="244"/>
      <c r="U138" s="244"/>
    </row>
    <row r="139" spans="2:21" ht="12.5">
      <c r="B139" s="145" t="str">
        <f t="shared" si="37"/>
        <v/>
      </c>
      <c r="C139" s="496">
        <f>IF(D94="","-",+C138+1)</f>
        <v>2052</v>
      </c>
      <c r="D139" s="350">
        <f>IF(F138+SUM(E$100:E138)=D$93,F138,D$93-SUM(E$100:E138))</f>
        <v>0</v>
      </c>
      <c r="E139" s="510">
        <f>IF(+J97&lt;F138,J97,D139)</f>
        <v>0</v>
      </c>
      <c r="F139" s="511">
        <f t="shared" si="44"/>
        <v>0</v>
      </c>
      <c r="G139" s="511">
        <f t="shared" si="38"/>
        <v>0</v>
      </c>
      <c r="H139" s="646">
        <f t="shared" si="36"/>
        <v>0</v>
      </c>
      <c r="I139" s="573">
        <f t="shared" si="39"/>
        <v>0</v>
      </c>
      <c r="J139" s="505">
        <f t="shared" si="40"/>
        <v>0</v>
      </c>
      <c r="K139" s="505"/>
      <c r="L139" s="513"/>
      <c r="M139" s="505">
        <f t="shared" si="41"/>
        <v>0</v>
      </c>
      <c r="N139" s="513"/>
      <c r="O139" s="505">
        <f t="shared" si="42"/>
        <v>0</v>
      </c>
      <c r="P139" s="505">
        <f t="shared" si="43"/>
        <v>0</v>
      </c>
      <c r="Q139" s="244"/>
      <c r="R139" s="244"/>
      <c r="S139" s="244"/>
      <c r="T139" s="244"/>
      <c r="U139" s="244"/>
    </row>
    <row r="140" spans="2:21" ht="12.5">
      <c r="B140" s="145" t="str">
        <f t="shared" si="37"/>
        <v/>
      </c>
      <c r="C140" s="496">
        <f>IF(D94="","-",+C139+1)</f>
        <v>2053</v>
      </c>
      <c r="D140" s="350">
        <f>IF(F139+SUM(E$100:E139)=D$93,F139,D$93-SUM(E$100:E139))</f>
        <v>0</v>
      </c>
      <c r="E140" s="510">
        <f>IF(+J97&lt;F139,J97,D140)</f>
        <v>0</v>
      </c>
      <c r="F140" s="511">
        <f t="shared" si="44"/>
        <v>0</v>
      </c>
      <c r="G140" s="511">
        <f t="shared" si="38"/>
        <v>0</v>
      </c>
      <c r="H140" s="646">
        <f t="shared" si="36"/>
        <v>0</v>
      </c>
      <c r="I140" s="573">
        <f t="shared" si="39"/>
        <v>0</v>
      </c>
      <c r="J140" s="505">
        <f t="shared" si="40"/>
        <v>0</v>
      </c>
      <c r="K140" s="505"/>
      <c r="L140" s="513"/>
      <c r="M140" s="505">
        <f t="shared" si="41"/>
        <v>0</v>
      </c>
      <c r="N140" s="513"/>
      <c r="O140" s="505">
        <f t="shared" si="42"/>
        <v>0</v>
      </c>
      <c r="P140" s="505">
        <f t="shared" si="43"/>
        <v>0</v>
      </c>
      <c r="Q140" s="244"/>
      <c r="R140" s="244"/>
      <c r="S140" s="244"/>
      <c r="T140" s="244"/>
      <c r="U140" s="244"/>
    </row>
    <row r="141" spans="2:21" ht="12.5">
      <c r="B141" s="145" t="str">
        <f t="shared" si="37"/>
        <v/>
      </c>
      <c r="C141" s="496">
        <f>IF(D94="","-",+C140+1)</f>
        <v>2054</v>
      </c>
      <c r="D141" s="350">
        <f>IF(F140+SUM(E$100:E140)=D$93,F140,D$93-SUM(E$100:E140))</f>
        <v>0</v>
      </c>
      <c r="E141" s="510">
        <f>IF(+J97&lt;F140,J97,D141)</f>
        <v>0</v>
      </c>
      <c r="F141" s="511">
        <f t="shared" si="44"/>
        <v>0</v>
      </c>
      <c r="G141" s="511">
        <f t="shared" si="38"/>
        <v>0</v>
      </c>
      <c r="H141" s="646">
        <f t="shared" si="36"/>
        <v>0</v>
      </c>
      <c r="I141" s="573">
        <f t="shared" si="39"/>
        <v>0</v>
      </c>
      <c r="J141" s="505">
        <f t="shared" si="40"/>
        <v>0</v>
      </c>
      <c r="K141" s="505"/>
      <c r="L141" s="513"/>
      <c r="M141" s="505">
        <f t="shared" si="41"/>
        <v>0</v>
      </c>
      <c r="N141" s="513"/>
      <c r="O141" s="505">
        <f t="shared" si="42"/>
        <v>0</v>
      </c>
      <c r="P141" s="505">
        <f t="shared" si="43"/>
        <v>0</v>
      </c>
      <c r="Q141" s="244"/>
      <c r="R141" s="244"/>
      <c r="S141" s="244"/>
      <c r="T141" s="244"/>
      <c r="U141" s="244"/>
    </row>
    <row r="142" spans="2:21" ht="12.5">
      <c r="B142" s="145" t="str">
        <f t="shared" si="37"/>
        <v/>
      </c>
      <c r="C142" s="496">
        <f>IF(D94="","-",+C141+1)</f>
        <v>2055</v>
      </c>
      <c r="D142" s="350">
        <f>IF(F141+SUM(E$100:E141)=D$93,F141,D$93-SUM(E$100:E141))</f>
        <v>0</v>
      </c>
      <c r="E142" s="510">
        <f>IF(+J97&lt;F141,J97,D142)</f>
        <v>0</v>
      </c>
      <c r="F142" s="511">
        <f t="shared" si="44"/>
        <v>0</v>
      </c>
      <c r="G142" s="511">
        <f t="shared" si="38"/>
        <v>0</v>
      </c>
      <c r="H142" s="646">
        <f t="shared" si="36"/>
        <v>0</v>
      </c>
      <c r="I142" s="573">
        <f t="shared" si="39"/>
        <v>0</v>
      </c>
      <c r="J142" s="505">
        <f t="shared" si="40"/>
        <v>0</v>
      </c>
      <c r="K142" s="505"/>
      <c r="L142" s="513"/>
      <c r="M142" s="505">
        <f t="shared" si="41"/>
        <v>0</v>
      </c>
      <c r="N142" s="513"/>
      <c r="O142" s="505">
        <f t="shared" si="42"/>
        <v>0</v>
      </c>
      <c r="P142" s="505">
        <f t="shared" si="43"/>
        <v>0</v>
      </c>
      <c r="Q142" s="244"/>
      <c r="R142" s="244"/>
      <c r="S142" s="244"/>
      <c r="T142" s="244"/>
      <c r="U142" s="244"/>
    </row>
    <row r="143" spans="2:21" ht="12.5">
      <c r="B143" s="145" t="str">
        <f t="shared" si="37"/>
        <v/>
      </c>
      <c r="C143" s="496">
        <f>IF(D94="","-",+C142+1)</f>
        <v>2056</v>
      </c>
      <c r="D143" s="350">
        <f>IF(F142+SUM(E$100:E142)=D$93,F142,D$93-SUM(E$100:E142))</f>
        <v>0</v>
      </c>
      <c r="E143" s="510">
        <f>IF(+J97&lt;F142,J97,D143)</f>
        <v>0</v>
      </c>
      <c r="F143" s="511">
        <f t="shared" si="44"/>
        <v>0</v>
      </c>
      <c r="G143" s="511">
        <f t="shared" si="38"/>
        <v>0</v>
      </c>
      <c r="H143" s="646">
        <f t="shared" si="36"/>
        <v>0</v>
      </c>
      <c r="I143" s="573">
        <f t="shared" si="39"/>
        <v>0</v>
      </c>
      <c r="J143" s="505">
        <f t="shared" si="40"/>
        <v>0</v>
      </c>
      <c r="K143" s="505"/>
      <c r="L143" s="513"/>
      <c r="M143" s="505">
        <f t="shared" si="41"/>
        <v>0</v>
      </c>
      <c r="N143" s="513"/>
      <c r="O143" s="505">
        <f t="shared" si="42"/>
        <v>0</v>
      </c>
      <c r="P143" s="505">
        <f t="shared" si="43"/>
        <v>0</v>
      </c>
      <c r="Q143" s="244"/>
      <c r="R143" s="244"/>
      <c r="S143" s="244"/>
      <c r="T143" s="244"/>
      <c r="U143" s="244"/>
    </row>
    <row r="144" spans="2:21" ht="12.5">
      <c r="B144" s="145" t="str">
        <f t="shared" si="37"/>
        <v/>
      </c>
      <c r="C144" s="496">
        <f>IF(D94="","-",+C143+1)</f>
        <v>2057</v>
      </c>
      <c r="D144" s="350">
        <f>IF(F143+SUM(E$100:E143)=D$93,F143,D$93-SUM(E$100:E143))</f>
        <v>0</v>
      </c>
      <c r="E144" s="510">
        <f>IF(+J97&lt;F143,J97,D144)</f>
        <v>0</v>
      </c>
      <c r="F144" s="511">
        <f t="shared" si="44"/>
        <v>0</v>
      </c>
      <c r="G144" s="511">
        <f t="shared" si="38"/>
        <v>0</v>
      </c>
      <c r="H144" s="646">
        <f t="shared" si="36"/>
        <v>0</v>
      </c>
      <c r="I144" s="573">
        <f t="shared" si="39"/>
        <v>0</v>
      </c>
      <c r="J144" s="505">
        <f t="shared" si="40"/>
        <v>0</v>
      </c>
      <c r="K144" s="505"/>
      <c r="L144" s="513"/>
      <c r="M144" s="505">
        <f t="shared" si="41"/>
        <v>0</v>
      </c>
      <c r="N144" s="513"/>
      <c r="O144" s="505">
        <f t="shared" si="42"/>
        <v>0</v>
      </c>
      <c r="P144" s="505">
        <f t="shared" si="43"/>
        <v>0</v>
      </c>
      <c r="Q144" s="244"/>
      <c r="R144" s="244"/>
      <c r="S144" s="244"/>
      <c r="T144" s="244"/>
      <c r="U144" s="244"/>
    </row>
    <row r="145" spans="2:21" ht="12.5">
      <c r="B145" s="145" t="str">
        <f t="shared" si="37"/>
        <v/>
      </c>
      <c r="C145" s="496">
        <f>IF(D94="","-",+C144+1)</f>
        <v>2058</v>
      </c>
      <c r="D145" s="350">
        <f>IF(F144+SUM(E$100:E144)=D$93,F144,D$93-SUM(E$100:E144))</f>
        <v>0</v>
      </c>
      <c r="E145" s="510">
        <f>IF(+J97&lt;F144,J97,D145)</f>
        <v>0</v>
      </c>
      <c r="F145" s="511">
        <f t="shared" si="44"/>
        <v>0</v>
      </c>
      <c r="G145" s="511">
        <f t="shared" si="38"/>
        <v>0</v>
      </c>
      <c r="H145" s="646">
        <f t="shared" si="36"/>
        <v>0</v>
      </c>
      <c r="I145" s="573">
        <f t="shared" si="39"/>
        <v>0</v>
      </c>
      <c r="J145" s="505">
        <f t="shared" si="40"/>
        <v>0</v>
      </c>
      <c r="K145" s="505"/>
      <c r="L145" s="513"/>
      <c r="M145" s="505">
        <f t="shared" si="41"/>
        <v>0</v>
      </c>
      <c r="N145" s="513"/>
      <c r="O145" s="505">
        <f t="shared" si="42"/>
        <v>0</v>
      </c>
      <c r="P145" s="505">
        <f t="shared" si="43"/>
        <v>0</v>
      </c>
      <c r="Q145" s="244"/>
      <c r="R145" s="244"/>
      <c r="S145" s="244"/>
      <c r="T145" s="244"/>
      <c r="U145" s="244"/>
    </row>
    <row r="146" spans="2:21" ht="12.5">
      <c r="B146" s="145" t="str">
        <f t="shared" si="37"/>
        <v/>
      </c>
      <c r="C146" s="496">
        <f>IF(D94="","-",+C145+1)</f>
        <v>2059</v>
      </c>
      <c r="D146" s="350">
        <f>IF(F145+SUM(E$100:E145)=D$93,F145,D$93-SUM(E$100:E145))</f>
        <v>0</v>
      </c>
      <c r="E146" s="510">
        <f>IF(+J97&lt;F145,J97,D146)</f>
        <v>0</v>
      </c>
      <c r="F146" s="511">
        <f t="shared" si="44"/>
        <v>0</v>
      </c>
      <c r="G146" s="511">
        <f t="shared" si="38"/>
        <v>0</v>
      </c>
      <c r="H146" s="646">
        <f t="shared" si="36"/>
        <v>0</v>
      </c>
      <c r="I146" s="573">
        <f t="shared" si="39"/>
        <v>0</v>
      </c>
      <c r="J146" s="505">
        <f t="shared" si="40"/>
        <v>0</v>
      </c>
      <c r="K146" s="505"/>
      <c r="L146" s="513"/>
      <c r="M146" s="505">
        <f t="shared" si="41"/>
        <v>0</v>
      </c>
      <c r="N146" s="513"/>
      <c r="O146" s="505">
        <f t="shared" si="42"/>
        <v>0</v>
      </c>
      <c r="P146" s="505">
        <f t="shared" si="43"/>
        <v>0</v>
      </c>
      <c r="Q146" s="244"/>
      <c r="R146" s="244"/>
      <c r="S146" s="244"/>
      <c r="T146" s="244"/>
      <c r="U146" s="244"/>
    </row>
    <row r="147" spans="2:21" ht="12.5">
      <c r="B147" s="145" t="str">
        <f t="shared" si="37"/>
        <v/>
      </c>
      <c r="C147" s="496">
        <f>IF(D94="","-",+C146+1)</f>
        <v>2060</v>
      </c>
      <c r="D147" s="350">
        <f>IF(F146+SUM(E$100:E146)=D$93,F146,D$93-SUM(E$100:E146))</f>
        <v>0</v>
      </c>
      <c r="E147" s="510">
        <f>IF(+J97&lt;F146,J97,D147)</f>
        <v>0</v>
      </c>
      <c r="F147" s="511">
        <f t="shared" si="44"/>
        <v>0</v>
      </c>
      <c r="G147" s="511">
        <f t="shared" si="38"/>
        <v>0</v>
      </c>
      <c r="H147" s="646">
        <f t="shared" si="36"/>
        <v>0</v>
      </c>
      <c r="I147" s="573">
        <f t="shared" si="39"/>
        <v>0</v>
      </c>
      <c r="J147" s="505">
        <f t="shared" si="40"/>
        <v>0</v>
      </c>
      <c r="K147" s="505"/>
      <c r="L147" s="513"/>
      <c r="M147" s="505">
        <f t="shared" si="41"/>
        <v>0</v>
      </c>
      <c r="N147" s="513"/>
      <c r="O147" s="505">
        <f t="shared" si="42"/>
        <v>0</v>
      </c>
      <c r="P147" s="505">
        <f t="shared" si="43"/>
        <v>0</v>
      </c>
      <c r="Q147" s="244"/>
      <c r="R147" s="244"/>
      <c r="S147" s="244"/>
      <c r="T147" s="244"/>
      <c r="U147" s="244"/>
    </row>
    <row r="148" spans="2:21" ht="12.5">
      <c r="B148" s="145" t="str">
        <f t="shared" si="37"/>
        <v/>
      </c>
      <c r="C148" s="496">
        <f>IF(D94="","-",+C147+1)</f>
        <v>2061</v>
      </c>
      <c r="D148" s="350">
        <f>IF(F147+SUM(E$100:E147)=D$93,F147,D$93-SUM(E$100:E147))</f>
        <v>0</v>
      </c>
      <c r="E148" s="510">
        <f>IF(+J97&lt;F147,J97,D148)</f>
        <v>0</v>
      </c>
      <c r="F148" s="511">
        <f t="shared" si="44"/>
        <v>0</v>
      </c>
      <c r="G148" s="511">
        <f t="shared" si="38"/>
        <v>0</v>
      </c>
      <c r="H148" s="646">
        <f t="shared" si="36"/>
        <v>0</v>
      </c>
      <c r="I148" s="573">
        <f t="shared" si="39"/>
        <v>0</v>
      </c>
      <c r="J148" s="505">
        <f t="shared" si="40"/>
        <v>0</v>
      </c>
      <c r="K148" s="505"/>
      <c r="L148" s="513"/>
      <c r="M148" s="505">
        <f t="shared" si="41"/>
        <v>0</v>
      </c>
      <c r="N148" s="513"/>
      <c r="O148" s="505">
        <f t="shared" si="42"/>
        <v>0</v>
      </c>
      <c r="P148" s="505">
        <f t="shared" si="43"/>
        <v>0</v>
      </c>
      <c r="Q148" s="244"/>
      <c r="R148" s="244"/>
      <c r="S148" s="244"/>
      <c r="T148" s="244"/>
      <c r="U148" s="244"/>
    </row>
    <row r="149" spans="2:21" ht="12.5">
      <c r="B149" s="145" t="str">
        <f t="shared" si="37"/>
        <v/>
      </c>
      <c r="C149" s="496">
        <f>IF(D94="","-",+C148+1)</f>
        <v>2062</v>
      </c>
      <c r="D149" s="350">
        <f>IF(F148+SUM(E$100:E148)=D$93,F148,D$93-SUM(E$100:E148))</f>
        <v>0</v>
      </c>
      <c r="E149" s="510">
        <f>IF(+J97&lt;F148,J97,D149)</f>
        <v>0</v>
      </c>
      <c r="F149" s="511">
        <f t="shared" si="44"/>
        <v>0</v>
      </c>
      <c r="G149" s="511">
        <f t="shared" si="38"/>
        <v>0</v>
      </c>
      <c r="H149" s="646">
        <f t="shared" si="36"/>
        <v>0</v>
      </c>
      <c r="I149" s="573">
        <f t="shared" si="39"/>
        <v>0</v>
      </c>
      <c r="J149" s="505">
        <f t="shared" si="40"/>
        <v>0</v>
      </c>
      <c r="K149" s="505"/>
      <c r="L149" s="513"/>
      <c r="M149" s="505">
        <f t="shared" si="41"/>
        <v>0</v>
      </c>
      <c r="N149" s="513"/>
      <c r="O149" s="505">
        <f t="shared" si="42"/>
        <v>0</v>
      </c>
      <c r="P149" s="505">
        <f t="shared" si="43"/>
        <v>0</v>
      </c>
      <c r="Q149" s="244"/>
      <c r="R149" s="244"/>
      <c r="S149" s="244"/>
      <c r="T149" s="244"/>
      <c r="U149" s="244"/>
    </row>
    <row r="150" spans="2:21" ht="12.5">
      <c r="B150" s="145" t="str">
        <f t="shared" si="37"/>
        <v/>
      </c>
      <c r="C150" s="496">
        <f>IF(D94="","-",+C149+1)</f>
        <v>2063</v>
      </c>
      <c r="D150" s="350">
        <f>IF(F149+SUM(E$100:E149)=D$93,F149,D$93-SUM(E$100:E149))</f>
        <v>0</v>
      </c>
      <c r="E150" s="510">
        <f>IF(+J97&lt;F149,J97,D150)</f>
        <v>0</v>
      </c>
      <c r="F150" s="511">
        <f t="shared" si="44"/>
        <v>0</v>
      </c>
      <c r="G150" s="511">
        <f t="shared" si="38"/>
        <v>0</v>
      </c>
      <c r="H150" s="646">
        <f t="shared" si="36"/>
        <v>0</v>
      </c>
      <c r="I150" s="573">
        <f t="shared" si="39"/>
        <v>0</v>
      </c>
      <c r="J150" s="505">
        <f t="shared" si="40"/>
        <v>0</v>
      </c>
      <c r="K150" s="505"/>
      <c r="L150" s="513"/>
      <c r="M150" s="505">
        <f t="shared" si="41"/>
        <v>0</v>
      </c>
      <c r="N150" s="513"/>
      <c r="O150" s="505">
        <f t="shared" si="42"/>
        <v>0</v>
      </c>
      <c r="P150" s="505">
        <f t="shared" si="43"/>
        <v>0</v>
      </c>
      <c r="Q150" s="244"/>
      <c r="R150" s="244"/>
      <c r="S150" s="244"/>
      <c r="T150" s="244"/>
      <c r="U150" s="244"/>
    </row>
    <row r="151" spans="2:21" ht="12.5">
      <c r="B151" s="145" t="str">
        <f t="shared" si="37"/>
        <v/>
      </c>
      <c r="C151" s="496">
        <f>IF(D94="","-",+C150+1)</f>
        <v>2064</v>
      </c>
      <c r="D151" s="350">
        <f>IF(F150+SUM(E$100:E150)=D$93,F150,D$93-SUM(E$100:E150))</f>
        <v>0</v>
      </c>
      <c r="E151" s="510">
        <f>IF(+J97&lt;F150,J97,D151)</f>
        <v>0</v>
      </c>
      <c r="F151" s="511">
        <f t="shared" si="44"/>
        <v>0</v>
      </c>
      <c r="G151" s="511">
        <f t="shared" si="38"/>
        <v>0</v>
      </c>
      <c r="H151" s="646">
        <f t="shared" si="36"/>
        <v>0</v>
      </c>
      <c r="I151" s="573">
        <f t="shared" si="39"/>
        <v>0</v>
      </c>
      <c r="J151" s="505">
        <f t="shared" si="40"/>
        <v>0</v>
      </c>
      <c r="K151" s="505"/>
      <c r="L151" s="513"/>
      <c r="M151" s="505">
        <f t="shared" si="41"/>
        <v>0</v>
      </c>
      <c r="N151" s="513"/>
      <c r="O151" s="505">
        <f t="shared" si="42"/>
        <v>0</v>
      </c>
      <c r="P151" s="505">
        <f t="shared" si="43"/>
        <v>0</v>
      </c>
      <c r="Q151" s="244"/>
      <c r="R151" s="244"/>
      <c r="S151" s="244"/>
      <c r="T151" s="244"/>
      <c r="U151" s="244"/>
    </row>
    <row r="152" spans="2:21" ht="12.5">
      <c r="B152" s="145" t="str">
        <f t="shared" si="37"/>
        <v/>
      </c>
      <c r="C152" s="496">
        <f>IF(D94="","-",+C151+1)</f>
        <v>2065</v>
      </c>
      <c r="D152" s="350">
        <f>IF(F151+SUM(E$100:E151)=D$93,F151,D$93-SUM(E$100:E151))</f>
        <v>0</v>
      </c>
      <c r="E152" s="510">
        <f>IF(+J97&lt;F151,J97,D152)</f>
        <v>0</v>
      </c>
      <c r="F152" s="511">
        <f t="shared" si="44"/>
        <v>0</v>
      </c>
      <c r="G152" s="511">
        <f t="shared" si="38"/>
        <v>0</v>
      </c>
      <c r="H152" s="646">
        <f t="shared" si="36"/>
        <v>0</v>
      </c>
      <c r="I152" s="573">
        <f t="shared" si="39"/>
        <v>0</v>
      </c>
      <c r="J152" s="505">
        <f t="shared" si="40"/>
        <v>0</v>
      </c>
      <c r="K152" s="505"/>
      <c r="L152" s="513"/>
      <c r="M152" s="505">
        <f t="shared" si="41"/>
        <v>0</v>
      </c>
      <c r="N152" s="513"/>
      <c r="O152" s="505">
        <f t="shared" si="42"/>
        <v>0</v>
      </c>
      <c r="P152" s="505">
        <f t="shared" si="43"/>
        <v>0</v>
      </c>
      <c r="Q152" s="244"/>
      <c r="R152" s="244"/>
      <c r="S152" s="244"/>
      <c r="T152" s="244"/>
      <c r="U152" s="244"/>
    </row>
    <row r="153" spans="2:21" ht="12.5">
      <c r="B153" s="145" t="str">
        <f t="shared" si="37"/>
        <v/>
      </c>
      <c r="C153" s="496">
        <f>IF(D94="","-",+C152+1)</f>
        <v>2066</v>
      </c>
      <c r="D153" s="350">
        <f>IF(F152+SUM(E$100:E152)=D$93,F152,D$93-SUM(E$100:E152))</f>
        <v>0</v>
      </c>
      <c r="E153" s="510">
        <f>IF(+J97&lt;F152,J97,D153)</f>
        <v>0</v>
      </c>
      <c r="F153" s="511">
        <f t="shared" si="44"/>
        <v>0</v>
      </c>
      <c r="G153" s="511">
        <f t="shared" si="38"/>
        <v>0</v>
      </c>
      <c r="H153" s="646">
        <f t="shared" si="36"/>
        <v>0</v>
      </c>
      <c r="I153" s="573">
        <f t="shared" si="39"/>
        <v>0</v>
      </c>
      <c r="J153" s="505">
        <f t="shared" si="40"/>
        <v>0</v>
      </c>
      <c r="K153" s="505"/>
      <c r="L153" s="513"/>
      <c r="M153" s="505">
        <f t="shared" si="41"/>
        <v>0</v>
      </c>
      <c r="N153" s="513"/>
      <c r="O153" s="505">
        <f t="shared" si="42"/>
        <v>0</v>
      </c>
      <c r="P153" s="505">
        <f t="shared" si="43"/>
        <v>0</v>
      </c>
      <c r="Q153" s="244"/>
      <c r="R153" s="244"/>
      <c r="S153" s="244"/>
      <c r="T153" s="244"/>
      <c r="U153" s="244"/>
    </row>
    <row r="154" spans="2:21" ht="12.5">
      <c r="B154" s="145" t="str">
        <f t="shared" si="37"/>
        <v/>
      </c>
      <c r="C154" s="496">
        <f>IF(D94="","-",+C153+1)</f>
        <v>2067</v>
      </c>
      <c r="D154" s="350">
        <f>IF(F153+SUM(E$100:E153)=D$93,F153,D$93-SUM(E$100:E153))</f>
        <v>0</v>
      </c>
      <c r="E154" s="510">
        <f>IF(+J97&lt;F153,J97,D154)</f>
        <v>0</v>
      </c>
      <c r="F154" s="511">
        <f t="shared" si="44"/>
        <v>0</v>
      </c>
      <c r="G154" s="511">
        <f t="shared" si="38"/>
        <v>0</v>
      </c>
      <c r="H154" s="646">
        <f t="shared" si="36"/>
        <v>0</v>
      </c>
      <c r="I154" s="573">
        <f t="shared" si="39"/>
        <v>0</v>
      </c>
      <c r="J154" s="505">
        <f t="shared" si="40"/>
        <v>0</v>
      </c>
      <c r="K154" s="505"/>
      <c r="L154" s="513"/>
      <c r="M154" s="505">
        <f t="shared" si="41"/>
        <v>0</v>
      </c>
      <c r="N154" s="513"/>
      <c r="O154" s="505">
        <f t="shared" si="42"/>
        <v>0</v>
      </c>
      <c r="P154" s="505">
        <f t="shared" si="43"/>
        <v>0</v>
      </c>
      <c r="Q154" s="244"/>
      <c r="R154" s="244"/>
      <c r="S154" s="244"/>
      <c r="T154" s="244"/>
      <c r="U154" s="244"/>
    </row>
    <row r="155" spans="2:21" ht="13" thickBot="1">
      <c r="B155" s="145" t="str">
        <f t="shared" si="37"/>
        <v/>
      </c>
      <c r="C155" s="525">
        <f>IF(D94="","-",+C154+1)</f>
        <v>2068</v>
      </c>
      <c r="D155" s="528">
        <f>IF(F154+SUM(E$100:E154)=D$93,F154,D$93-SUM(E$100:E154))</f>
        <v>0</v>
      </c>
      <c r="E155" s="527">
        <f>IF(+J97&lt;F154,J97,D155)</f>
        <v>0</v>
      </c>
      <c r="F155" s="528">
        <f t="shared" si="44"/>
        <v>0</v>
      </c>
      <c r="G155" s="528">
        <f t="shared" si="38"/>
        <v>0</v>
      </c>
      <c r="H155" s="646">
        <f t="shared" si="36"/>
        <v>0</v>
      </c>
      <c r="I155" s="574">
        <f t="shared" si="39"/>
        <v>0</v>
      </c>
      <c r="J155" s="532">
        <f t="shared" si="40"/>
        <v>0</v>
      </c>
      <c r="K155" s="505"/>
      <c r="L155" s="531"/>
      <c r="M155" s="532">
        <f t="shared" si="41"/>
        <v>0</v>
      </c>
      <c r="N155" s="531"/>
      <c r="O155" s="532">
        <f t="shared" si="42"/>
        <v>0</v>
      </c>
      <c r="P155" s="532">
        <f t="shared" si="43"/>
        <v>0</v>
      </c>
      <c r="Q155" s="244"/>
      <c r="R155" s="244"/>
      <c r="S155" s="244"/>
      <c r="T155" s="244"/>
      <c r="U155" s="244"/>
    </row>
    <row r="156" spans="2:21" ht="12.5">
      <c r="C156" s="350" t="s">
        <v>75</v>
      </c>
      <c r="D156" s="295"/>
      <c r="E156" s="295">
        <f>SUM(E100:E155)</f>
        <v>28914235.74000001</v>
      </c>
      <c r="F156" s="295"/>
      <c r="G156" s="295"/>
      <c r="H156" s="295">
        <f>SUM(H100:H155)</f>
        <v>79072722.458738163</v>
      </c>
      <c r="I156" s="295">
        <f>SUM(I100:I155)</f>
        <v>79072722.458738163</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0" priority="1" stopIfTrue="1" operator="equal">
      <formula>$I$10</formula>
    </cfRule>
  </conditionalFormatting>
  <conditionalFormatting sqref="C100:C155">
    <cfRule type="cellIs" dxfId="39"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27D1A3F-EC78-47A4-A265-3F7FCB96F1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s177040</cp:lastModifiedBy>
  <cp:lastPrinted>2019-04-10T12:36:50Z</cp:lastPrinted>
  <dcterms:created xsi:type="dcterms:W3CDTF">2009-05-11T14:02:48Z</dcterms:created>
  <dcterms:modified xsi:type="dcterms:W3CDTF">2021-05-24T20:40:38Z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fdf90a27-ae33-44c3-97c2-34c0498a6fd2</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